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<sst xmlns="http://schemas.openxmlformats.org/spreadsheetml/2006/main" count="1026" uniqueCount="190">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</sst>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03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01" t="s">
        <v>188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92"/>
      <c r="S1" s="93"/>
    </row>
    <row r="2" spans="2:19" s="1" customFormat="1" ht="15.75" customHeight="1">
      <c r="B2" s="302"/>
      <c r="C2" s="302"/>
      <c r="D2" s="30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89"/>
      <c r="N3" s="311" t="s">
        <v>183</v>
      </c>
      <c r="O3" s="312" t="s">
        <v>184</v>
      </c>
      <c r="P3" s="312"/>
      <c r="Q3" s="312"/>
      <c r="R3" s="312"/>
      <c r="S3" s="312"/>
    </row>
    <row r="4" spans="1:19" ht="22.5" customHeight="1">
      <c r="A4" s="303"/>
      <c r="B4" s="305"/>
      <c r="C4" s="306"/>
      <c r="D4" s="307"/>
      <c r="E4" s="313" t="s">
        <v>179</v>
      </c>
      <c r="F4" s="295" t="s">
        <v>34</v>
      </c>
      <c r="G4" s="288" t="s">
        <v>180</v>
      </c>
      <c r="H4" s="297" t="s">
        <v>181</v>
      </c>
      <c r="I4" s="288" t="s">
        <v>122</v>
      </c>
      <c r="J4" s="297" t="s">
        <v>123</v>
      </c>
      <c r="K4" s="91" t="s">
        <v>186</v>
      </c>
      <c r="L4" s="255" t="s">
        <v>185</v>
      </c>
      <c r="M4" s="96" t="s">
        <v>64</v>
      </c>
      <c r="N4" s="297"/>
      <c r="O4" s="299" t="s">
        <v>189</v>
      </c>
      <c r="P4" s="288" t="s">
        <v>50</v>
      </c>
      <c r="Q4" s="290" t="s">
        <v>49</v>
      </c>
      <c r="R4" s="97" t="s">
        <v>65</v>
      </c>
      <c r="S4" s="98" t="s">
        <v>64</v>
      </c>
    </row>
    <row r="5" spans="1:19" ht="67.5" customHeight="1">
      <c r="A5" s="304"/>
      <c r="B5" s="305"/>
      <c r="C5" s="306"/>
      <c r="D5" s="307"/>
      <c r="E5" s="314"/>
      <c r="F5" s="296"/>
      <c r="G5" s="289"/>
      <c r="H5" s="298"/>
      <c r="I5" s="289"/>
      <c r="J5" s="298"/>
      <c r="K5" s="291" t="s">
        <v>182</v>
      </c>
      <c r="L5" s="292"/>
      <c r="M5" s="293"/>
      <c r="N5" s="298"/>
      <c r="O5" s="300"/>
      <c r="P5" s="289"/>
      <c r="Q5" s="290"/>
      <c r="R5" s="291" t="s">
        <v>120</v>
      </c>
      <c r="S5" s="293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499536.28</v>
      </c>
      <c r="F8" s="191">
        <f>F9+F15+F18+F19+F20+F37+F17</f>
        <v>501747.36999999994</v>
      </c>
      <c r="G8" s="191">
        <f aca="true" t="shared" si="0" ref="G8:G37">F8-E8</f>
        <v>2211.089999999909</v>
      </c>
      <c r="H8" s="192">
        <f>F8/E8*100</f>
        <v>100.44262851138659</v>
      </c>
      <c r="I8" s="193">
        <f>F8-D8</f>
        <v>-339302.63000000006</v>
      </c>
      <c r="J8" s="193">
        <f>F8/D8*100</f>
        <v>59.657258189168296</v>
      </c>
      <c r="K8" s="191">
        <f>366772.22</f>
        <v>366772.22</v>
      </c>
      <c r="L8" s="191">
        <f aca="true" t="shared" si="1" ref="L8:L15">F8-K8</f>
        <v>134975.14999999997</v>
      </c>
      <c r="M8" s="256">
        <f aca="true" t="shared" si="2" ref="M8:M15">F8/K8</f>
        <v>1.368008105957425</v>
      </c>
      <c r="N8" s="191">
        <f>N9+N15+N18+N19+N20+N17</f>
        <v>79300.50000000003</v>
      </c>
      <c r="O8" s="191">
        <f>O9+O15+O18+O19+O20+O17</f>
        <v>36235.93999999999</v>
      </c>
      <c r="P8" s="191">
        <f>O8-N8</f>
        <v>-43064.56000000004</v>
      </c>
      <c r="Q8" s="191">
        <f>O8/N8*100</f>
        <v>45.69446598697357</v>
      </c>
      <c r="R8" s="15" t="e">
        <f>#N/A</f>
        <v>#N/A</v>
      </c>
      <c r="S8" s="15" t="e">
        <f>#N/A</f>
        <v>#N/A</v>
      </c>
    </row>
    <row r="9" spans="1:19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277785.76</v>
      </c>
      <c r="G9" s="190">
        <f t="shared" si="0"/>
        <v>14061.48999999999</v>
      </c>
      <c r="H9" s="197">
        <f>F9/E9*100</f>
        <v>105.3318907660641</v>
      </c>
      <c r="I9" s="198">
        <f>F9-D9</f>
        <v>-181914.24</v>
      </c>
      <c r="J9" s="198">
        <f>F9/D9*100</f>
        <v>60.427618011746794</v>
      </c>
      <c r="K9" s="199">
        <v>203434.44</v>
      </c>
      <c r="L9" s="199">
        <f t="shared" si="1"/>
        <v>74351.32</v>
      </c>
      <c r="M9" s="257">
        <f t="shared" si="2"/>
        <v>1.3654804958295164</v>
      </c>
      <c r="N9" s="197">
        <f>E9-червень!E9</f>
        <v>39820.00000000003</v>
      </c>
      <c r="O9" s="200">
        <f>F9-червень!F9</f>
        <v>16343.220000000001</v>
      </c>
      <c r="P9" s="201">
        <f>O9-N9</f>
        <v>-23476.780000000028</v>
      </c>
      <c r="Q9" s="198">
        <f>O9/N9*100</f>
        <v>41.04274234053237</v>
      </c>
      <c r="R9" s="106"/>
      <c r="S9" s="107"/>
    </row>
    <row r="10" spans="1:19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245152.55</v>
      </c>
      <c r="G10" s="109">
        <f t="shared" si="0"/>
        <v>11136.709999999992</v>
      </c>
      <c r="H10" s="32">
        <f aca="true" t="shared" si="3" ref="H10:H36">F10/E10*100</f>
        <v>104.75895563308877</v>
      </c>
      <c r="I10" s="110">
        <f aca="true" t="shared" si="4" ref="I10:I37">F10-D10</f>
        <v>-166287.45</v>
      </c>
      <c r="J10" s="110">
        <f aca="true" t="shared" si="5" ref="J10:J36">F10/D10*100</f>
        <v>59.58403412405211</v>
      </c>
      <c r="K10" s="112">
        <v>180069.97</v>
      </c>
      <c r="L10" s="112">
        <f t="shared" si="1"/>
        <v>65082.57999999999</v>
      </c>
      <c r="M10" s="258">
        <f t="shared" si="2"/>
        <v>1.3614293932519674</v>
      </c>
      <c r="N10" s="111">
        <f>E10-червень!E10</f>
        <v>34720</v>
      </c>
      <c r="O10" s="179">
        <f>F10-червень!F10</f>
        <v>13884.139999999985</v>
      </c>
      <c r="P10" s="112">
        <f aca="true" t="shared" si="6" ref="P10:P37">O10-N10</f>
        <v>-20835.860000000015</v>
      </c>
      <c r="Q10" s="198">
        <f aca="true" t="shared" si="7" ref="Q10:Q16">O10/N10*100</f>
        <v>39.98888248847922</v>
      </c>
      <c r="R10" s="42"/>
      <c r="S10" s="100"/>
    </row>
    <row r="11" spans="1:19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19050.82</v>
      </c>
      <c r="G11" s="109">
        <f t="shared" si="0"/>
        <v>3135.879999999999</v>
      </c>
      <c r="H11" s="32">
        <f t="shared" si="3"/>
        <v>119.70400139742907</v>
      </c>
      <c r="I11" s="110">
        <f t="shared" si="4"/>
        <v>-3949.1800000000003</v>
      </c>
      <c r="J11" s="110">
        <f t="shared" si="5"/>
        <v>82.82965217391303</v>
      </c>
      <c r="K11" s="112">
        <v>10791.39</v>
      </c>
      <c r="L11" s="112">
        <f t="shared" si="1"/>
        <v>8259.43</v>
      </c>
      <c r="M11" s="258">
        <f t="shared" si="2"/>
        <v>1.76537220877014</v>
      </c>
      <c r="N11" s="111">
        <f>E11-червень!E11</f>
        <v>1750</v>
      </c>
      <c r="O11" s="179">
        <f>F11-червень!F11</f>
        <v>1018.5699999999997</v>
      </c>
      <c r="P11" s="112">
        <f t="shared" si="6"/>
        <v>-731.4300000000003</v>
      </c>
      <c r="Q11" s="198">
        <f t="shared" si="7"/>
        <v>58.20399999999998</v>
      </c>
      <c r="R11" s="42"/>
      <c r="S11" s="100"/>
    </row>
    <row r="12" spans="1:19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5659.88</v>
      </c>
      <c r="G12" s="109">
        <f t="shared" si="0"/>
        <v>2389.27</v>
      </c>
      <c r="H12" s="32">
        <f t="shared" si="3"/>
        <v>173.05273328217058</v>
      </c>
      <c r="I12" s="110">
        <f t="shared" si="4"/>
        <v>-840.1199999999999</v>
      </c>
      <c r="J12" s="110">
        <f t="shared" si="5"/>
        <v>87.07507692307692</v>
      </c>
      <c r="K12" s="112">
        <v>3052.92</v>
      </c>
      <c r="L12" s="112">
        <f t="shared" si="1"/>
        <v>2606.96</v>
      </c>
      <c r="M12" s="258">
        <f t="shared" si="2"/>
        <v>1.853923456887177</v>
      </c>
      <c r="N12" s="111">
        <f>E12-червень!E12</f>
        <v>550</v>
      </c>
      <c r="O12" s="179">
        <f>F12-червень!F12</f>
        <v>371.22000000000025</v>
      </c>
      <c r="P12" s="112">
        <f t="shared" si="6"/>
        <v>-178.77999999999975</v>
      </c>
      <c r="Q12" s="198">
        <f t="shared" si="7"/>
        <v>67.4945454545455</v>
      </c>
      <c r="R12" s="42"/>
      <c r="S12" s="100"/>
    </row>
    <row r="13" spans="1:19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5471.64</v>
      </c>
      <c r="G13" s="109">
        <f t="shared" si="0"/>
        <v>-1293.1999999999998</v>
      </c>
      <c r="H13" s="32">
        <f t="shared" si="3"/>
        <v>80.88350943998675</v>
      </c>
      <c r="I13" s="110">
        <f t="shared" si="4"/>
        <v>-6928.36</v>
      </c>
      <c r="J13" s="110">
        <f t="shared" si="5"/>
        <v>44.12612903225806</v>
      </c>
      <c r="K13" s="112">
        <v>4060.02</v>
      </c>
      <c r="L13" s="112">
        <f t="shared" si="1"/>
        <v>1411.6200000000003</v>
      </c>
      <c r="M13" s="258">
        <f t="shared" si="2"/>
        <v>1.347687942423929</v>
      </c>
      <c r="N13" s="111">
        <f>E13-червень!E13</f>
        <v>2180</v>
      </c>
      <c r="O13" s="179">
        <f>F13-червень!F13</f>
        <v>1019.0300000000007</v>
      </c>
      <c r="P13" s="112">
        <f t="shared" si="6"/>
        <v>-1160.9699999999993</v>
      </c>
      <c r="Q13" s="198">
        <f t="shared" si="7"/>
        <v>46.74449541284407</v>
      </c>
      <c r="R13" s="42"/>
      <c r="S13" s="100"/>
    </row>
    <row r="14" spans="1:19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2450.88</v>
      </c>
      <c r="G14" s="109">
        <f t="shared" si="0"/>
        <v>-1307.1599999999999</v>
      </c>
      <c r="H14" s="32">
        <f t="shared" si="3"/>
        <v>65.2169748060159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8">
        <f t="shared" si="2"/>
        <v>0.44886925562075564</v>
      </c>
      <c r="N14" s="111">
        <f>E14-червень!E14</f>
        <v>620</v>
      </c>
      <c r="O14" s="179">
        <f>F14-червень!F14</f>
        <v>50.26999999999998</v>
      </c>
      <c r="P14" s="112">
        <f t="shared" si="6"/>
        <v>-569.73</v>
      </c>
      <c r="Q14" s="198">
        <f t="shared" si="7"/>
        <v>8.10806451612903</v>
      </c>
      <c r="R14" s="42"/>
      <c r="S14" s="100"/>
    </row>
    <row r="15" spans="1:19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9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</row>
    <row r="16" spans="1:19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8" ref="L16:L22">F16-K16</f>
        <v>-381.9</v>
      </c>
      <c r="M16" s="259">
        <f aca="true" t="shared" si="9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</row>
    <row r="17" spans="1:19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8"/>
        <v>0.08000000000000002</v>
      </c>
      <c r="M17" s="259">
        <f t="shared" si="9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</row>
    <row r="18" spans="1:19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8"/>
        <v>90</v>
      </c>
      <c r="M18" s="259">
        <f t="shared" si="9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</row>
    <row r="19" spans="1:19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45576.26</v>
      </c>
      <c r="G19" s="190">
        <f t="shared" si="0"/>
        <v>-13184.14</v>
      </c>
      <c r="H19" s="197">
        <f t="shared" si="3"/>
        <v>77.56288248548341</v>
      </c>
      <c r="I19" s="198">
        <f t="shared" si="4"/>
        <v>-64323.74</v>
      </c>
      <c r="J19" s="198">
        <f t="shared" si="5"/>
        <v>41.47066424021838</v>
      </c>
      <c r="K19" s="209">
        <v>37124.61</v>
      </c>
      <c r="L19" s="201">
        <f t="shared" si="8"/>
        <v>8451.650000000001</v>
      </c>
      <c r="M19" s="265">
        <f t="shared" si="9"/>
        <v>1.227656263594419</v>
      </c>
      <c r="N19" s="197">
        <f>E19-червень!E19</f>
        <v>10900</v>
      </c>
      <c r="O19" s="200">
        <f>F19-червень!F19</f>
        <v>1064.2400000000052</v>
      </c>
      <c r="P19" s="201">
        <f t="shared" si="6"/>
        <v>-9835.759999999995</v>
      </c>
      <c r="Q19" s="198">
        <f aca="true" t="shared" si="10" ref="Q19:Q24">O19/N19*100</f>
        <v>9.76366972477069</v>
      </c>
      <c r="R19" s="113"/>
      <c r="S19" s="114"/>
    </row>
    <row r="20" spans="1:19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176791.61</v>
      </c>
      <c r="F20" s="277">
        <f>F21+F29+F30+F31+F32</f>
        <v>177970.13999999998</v>
      </c>
      <c r="G20" s="190">
        <f t="shared" si="0"/>
        <v>1178.5299999999988</v>
      </c>
      <c r="H20" s="197">
        <f t="shared" si="3"/>
        <v>100.66662100084953</v>
      </c>
      <c r="I20" s="198">
        <f t="shared" si="4"/>
        <v>-92969.86000000002</v>
      </c>
      <c r="J20" s="198">
        <f t="shared" si="5"/>
        <v>65.68618144238576</v>
      </c>
      <c r="K20" s="198">
        <v>122956.99</v>
      </c>
      <c r="L20" s="201">
        <f t="shared" si="8"/>
        <v>55013.14999999998</v>
      </c>
      <c r="M20" s="260">
        <f t="shared" si="9"/>
        <v>1.4474178328535854</v>
      </c>
      <c r="N20" s="197">
        <f>N21+N30+N31+N32</f>
        <v>28570.5</v>
      </c>
      <c r="O20" s="200">
        <f>F20-червень!F20</f>
        <v>18828.47999999998</v>
      </c>
      <c r="P20" s="201">
        <f t="shared" si="6"/>
        <v>-9742.020000000019</v>
      </c>
      <c r="Q20" s="198">
        <f t="shared" si="10"/>
        <v>65.90182180920874</v>
      </c>
      <c r="R20" s="113"/>
      <c r="S20" s="114"/>
    </row>
    <row r="21" spans="1:19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93468.68999999999</v>
      </c>
      <c r="G21" s="190">
        <f t="shared" si="0"/>
        <v>-3139.9700000000157</v>
      </c>
      <c r="H21" s="197">
        <f t="shared" si="3"/>
        <v>96.74980483116109</v>
      </c>
      <c r="I21" s="198">
        <f t="shared" si="4"/>
        <v>-67931.31000000001</v>
      </c>
      <c r="J21" s="198">
        <f t="shared" si="5"/>
        <v>57.911208178438656</v>
      </c>
      <c r="K21" s="198">
        <v>67867.18</v>
      </c>
      <c r="L21" s="201">
        <f t="shared" si="8"/>
        <v>25601.509999999995</v>
      </c>
      <c r="M21" s="260">
        <f t="shared" si="9"/>
        <v>1.377229612310398</v>
      </c>
      <c r="N21" s="197">
        <f>N22+N25+N26</f>
        <v>18465.3</v>
      </c>
      <c r="O21" s="200">
        <f>F21-червень!F21</f>
        <v>7474.299999999988</v>
      </c>
      <c r="P21" s="201">
        <f t="shared" si="6"/>
        <v>-10991.000000000011</v>
      </c>
      <c r="Q21" s="198">
        <f t="shared" si="10"/>
        <v>40.477544367001826</v>
      </c>
      <c r="R21" s="113"/>
      <c r="S21" s="114"/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11238.88</v>
      </c>
      <c r="G22" s="212">
        <f t="shared" si="0"/>
        <v>-1352.7200000000012</v>
      </c>
      <c r="H22" s="214">
        <f t="shared" si="3"/>
        <v>89.25696496076748</v>
      </c>
      <c r="I22" s="215">
        <f t="shared" si="4"/>
        <v>-7261.120000000001</v>
      </c>
      <c r="J22" s="215">
        <f t="shared" si="5"/>
        <v>60.7507027027027</v>
      </c>
      <c r="K22" s="216">
        <v>8455.99</v>
      </c>
      <c r="L22" s="206">
        <f t="shared" si="8"/>
        <v>2782.8899999999994</v>
      </c>
      <c r="M22" s="268">
        <f t="shared" si="9"/>
        <v>1.329102801682594</v>
      </c>
      <c r="N22" s="214">
        <f>E22-червень!E22</f>
        <v>3980</v>
      </c>
      <c r="O22" s="217">
        <f>F22-червень!F22</f>
        <v>2005.289999999999</v>
      </c>
      <c r="P22" s="218">
        <f t="shared" si="6"/>
        <v>-1974.710000000001</v>
      </c>
      <c r="Q22" s="215">
        <f t="shared" si="10"/>
        <v>50.38417085427134</v>
      </c>
      <c r="R22" s="113"/>
      <c r="S22" s="114"/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461.7</v>
      </c>
      <c r="G23" s="241">
        <f t="shared" si="0"/>
        <v>-227.40000000000003</v>
      </c>
      <c r="H23" s="242">
        <f t="shared" si="3"/>
        <v>67.00043535045711</v>
      </c>
      <c r="I23" s="243">
        <f t="shared" si="4"/>
        <v>-1538.3</v>
      </c>
      <c r="J23" s="243">
        <f t="shared" si="5"/>
        <v>23.085</v>
      </c>
      <c r="K23" s="267">
        <v>461.3</v>
      </c>
      <c r="L23" s="267">
        <f aca="true" t="shared" si="11" ref="L23:L39">F23-K23</f>
        <v>0.39999999999997726</v>
      </c>
      <c r="M23" s="269">
        <f aca="true" t="shared" si="12" ref="M23:M28">F23/K23</f>
        <v>1.0008671146759158</v>
      </c>
      <c r="N23" s="239">
        <f>E23-червень!E23</f>
        <v>300</v>
      </c>
      <c r="O23" s="239">
        <f>F23-червень!F23</f>
        <v>119.59999999999997</v>
      </c>
      <c r="P23" s="240">
        <f t="shared" si="6"/>
        <v>-180.40000000000003</v>
      </c>
      <c r="Q23" s="240">
        <f t="shared" si="10"/>
        <v>39.86666666666665</v>
      </c>
      <c r="R23" s="113"/>
      <c r="S23" s="114"/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10777.18</v>
      </c>
      <c r="G24" s="241">
        <f t="shared" si="0"/>
        <v>-1125.3199999999997</v>
      </c>
      <c r="H24" s="242">
        <f t="shared" si="3"/>
        <v>90.54551564797312</v>
      </c>
      <c r="I24" s="243">
        <f t="shared" si="4"/>
        <v>-5722.82</v>
      </c>
      <c r="J24" s="243">
        <f t="shared" si="5"/>
        <v>65.31624242424242</v>
      </c>
      <c r="K24" s="267">
        <v>7994.69</v>
      </c>
      <c r="L24" s="267">
        <f t="shared" si="11"/>
        <v>2782.4900000000007</v>
      </c>
      <c r="M24" s="269">
        <f t="shared" si="12"/>
        <v>1.348042263052101</v>
      </c>
      <c r="N24" s="239">
        <f>E24-червень!E24</f>
        <v>3680</v>
      </c>
      <c r="O24" s="239">
        <f>F24-червень!F24</f>
        <v>1885.6900000000005</v>
      </c>
      <c r="P24" s="240">
        <f t="shared" si="6"/>
        <v>-1794.3099999999995</v>
      </c>
      <c r="Q24" s="240">
        <f t="shared" si="10"/>
        <v>51.24157608695653</v>
      </c>
      <c r="R24" s="113"/>
      <c r="S24" s="114"/>
      <c r="U24" s="186"/>
    </row>
    <row r="25" spans="1:19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453.8</v>
      </c>
      <c r="G25" s="212">
        <f t="shared" si="0"/>
        <v>-239.33999999999997</v>
      </c>
      <c r="H25" s="214">
        <f t="shared" si="3"/>
        <v>65.47017918458032</v>
      </c>
      <c r="I25" s="215">
        <f t="shared" si="4"/>
        <v>-2346.2</v>
      </c>
      <c r="J25" s="215">
        <f t="shared" si="5"/>
        <v>16.20714285714286</v>
      </c>
      <c r="K25" s="215">
        <v>773.2</v>
      </c>
      <c r="L25" s="215">
        <f t="shared" si="11"/>
        <v>-319.40000000000003</v>
      </c>
      <c r="M25" s="263">
        <f t="shared" si="12"/>
        <v>0.5869115364718055</v>
      </c>
      <c r="N25" s="214">
        <f>E25-червень!E25</f>
        <v>416.3</v>
      </c>
      <c r="O25" s="217">
        <f>F25-червень!F25</f>
        <v>18.75</v>
      </c>
      <c r="P25" s="218">
        <f t="shared" si="6"/>
        <v>-397.55</v>
      </c>
      <c r="Q25" s="215"/>
      <c r="R25" s="113"/>
      <c r="S25" s="114"/>
    </row>
    <row r="26" spans="1:19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81776.01</v>
      </c>
      <c r="G26" s="212">
        <f t="shared" si="0"/>
        <v>-1547.9100000000035</v>
      </c>
      <c r="H26" s="214">
        <f t="shared" si="3"/>
        <v>98.14229815399948</v>
      </c>
      <c r="I26" s="215">
        <f t="shared" si="4"/>
        <v>-58323.990000000005</v>
      </c>
      <c r="J26" s="215">
        <f t="shared" si="5"/>
        <v>58.369743040685215</v>
      </c>
      <c r="K26" s="216">
        <v>58637.99</v>
      </c>
      <c r="L26" s="216">
        <f t="shared" si="11"/>
        <v>23138.019999999997</v>
      </c>
      <c r="M26" s="262">
        <f t="shared" si="12"/>
        <v>1.394590946927069</v>
      </c>
      <c r="N26" s="214">
        <f>E26-червень!E26</f>
        <v>14069</v>
      </c>
      <c r="O26" s="217">
        <f>F26-червень!F26</f>
        <v>5450.259999999995</v>
      </c>
      <c r="P26" s="218">
        <f t="shared" si="6"/>
        <v>-8618.740000000005</v>
      </c>
      <c r="Q26" s="215">
        <f>O26/N26*100</f>
        <v>38.73949818750441</v>
      </c>
      <c r="R26" s="113"/>
      <c r="S26" s="114"/>
    </row>
    <row r="27" spans="1:19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25816.46</v>
      </c>
      <c r="G27" s="241">
        <f t="shared" si="0"/>
        <v>1851.7099999999991</v>
      </c>
      <c r="H27" s="242">
        <f t="shared" si="3"/>
        <v>107.7268070812339</v>
      </c>
      <c r="I27" s="243">
        <f t="shared" si="4"/>
        <v>-12240.54</v>
      </c>
      <c r="J27" s="243">
        <f t="shared" si="5"/>
        <v>67.83629818430249</v>
      </c>
      <c r="K27" s="267">
        <v>15594.88</v>
      </c>
      <c r="L27" s="267">
        <f t="shared" si="11"/>
        <v>10221.58</v>
      </c>
      <c r="M27" s="269">
        <f t="shared" si="12"/>
        <v>1.6554446074609104</v>
      </c>
      <c r="N27" s="239">
        <f>E27-червень!E27</f>
        <v>4535</v>
      </c>
      <c r="O27" s="239">
        <f>F27-червень!F27</f>
        <v>2079.6100000000006</v>
      </c>
      <c r="P27" s="240">
        <f t="shared" si="6"/>
        <v>-2455.3899999999994</v>
      </c>
      <c r="Q27" s="240">
        <f>O27/N27*100</f>
        <v>45.8568908489526</v>
      </c>
      <c r="R27" s="113"/>
      <c r="S27" s="114"/>
    </row>
    <row r="28" spans="1:19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55959.55</v>
      </c>
      <c r="G28" s="241">
        <f t="shared" si="0"/>
        <v>-3399.6199999999953</v>
      </c>
      <c r="H28" s="242">
        <f t="shared" si="3"/>
        <v>94.27279727799429</v>
      </c>
      <c r="I28" s="243">
        <f t="shared" si="4"/>
        <v>-46083.45</v>
      </c>
      <c r="J28" s="243">
        <f t="shared" si="5"/>
        <v>54.83918544143156</v>
      </c>
      <c r="K28" s="267">
        <v>43043.11</v>
      </c>
      <c r="L28" s="267">
        <f t="shared" si="11"/>
        <v>12916.440000000002</v>
      </c>
      <c r="M28" s="269">
        <f t="shared" si="12"/>
        <v>1.3000814764546522</v>
      </c>
      <c r="N28" s="239">
        <f>E28-червень!E28</f>
        <v>9534</v>
      </c>
      <c r="O28" s="239">
        <f>F28-червень!F28</f>
        <v>3370.6600000000035</v>
      </c>
      <c r="P28" s="240">
        <f t="shared" si="6"/>
        <v>-6163.3399999999965</v>
      </c>
      <c r="Q28" s="240">
        <f>O28/N28*100</f>
        <v>35.3541011118104</v>
      </c>
      <c r="R28" s="113"/>
      <c r="S28" s="114"/>
    </row>
    <row r="29" spans="1:19" s="6" customFormat="1" ht="18">
      <c r="A29" s="8"/>
      <c r="B29" s="49" t="s">
        <v>187</v>
      </c>
      <c r="C29" s="276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1"/>
        <v>0.15</v>
      </c>
      <c r="M29" s="261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</row>
    <row r="30" spans="1:19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65.02</v>
      </c>
      <c r="G30" s="190">
        <f t="shared" si="0"/>
        <v>24.11</v>
      </c>
      <c r="H30" s="197">
        <f t="shared" si="3"/>
        <v>158.93424590564655</v>
      </c>
      <c r="I30" s="198">
        <f t="shared" si="4"/>
        <v>-11.980000000000004</v>
      </c>
      <c r="J30" s="198">
        <f t="shared" si="5"/>
        <v>84.44155844155844</v>
      </c>
      <c r="K30" s="198">
        <v>41.66</v>
      </c>
      <c r="L30" s="198">
        <f t="shared" si="11"/>
        <v>23.36</v>
      </c>
      <c r="M30" s="261">
        <f>F30/K30</f>
        <v>1.5607297167546808</v>
      </c>
      <c r="N30" s="197">
        <f>E30-червень!E29</f>
        <v>5.199999999999996</v>
      </c>
      <c r="O30" s="200">
        <f>F30-червень!F29</f>
        <v>9.399999999999999</v>
      </c>
      <c r="P30" s="201">
        <f t="shared" si="6"/>
        <v>4.200000000000003</v>
      </c>
      <c r="Q30" s="198">
        <f>O30/N30*100</f>
        <v>180.7692307692309</v>
      </c>
      <c r="R30" s="113"/>
      <c r="S30" s="114"/>
    </row>
    <row r="31" spans="1:19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-137.76</v>
      </c>
      <c r="G31" s="190">
        <f t="shared" si="0"/>
        <v>-137.76</v>
      </c>
      <c r="H31" s="197"/>
      <c r="I31" s="198">
        <f t="shared" si="4"/>
        <v>-137.76</v>
      </c>
      <c r="J31" s="198"/>
      <c r="K31" s="198">
        <v>-530.36</v>
      </c>
      <c r="L31" s="198">
        <f t="shared" si="11"/>
        <v>392.6</v>
      </c>
      <c r="M31" s="261">
        <f>F31/K31</f>
        <v>0.2597480956331548</v>
      </c>
      <c r="N31" s="197">
        <f>E31-червень!E30</f>
        <v>0</v>
      </c>
      <c r="O31" s="200">
        <f>F31-червень!F30</f>
        <v>-12.719999999999985</v>
      </c>
      <c r="P31" s="201">
        <f t="shared" si="6"/>
        <v>-12.719999999999985</v>
      </c>
      <c r="Q31" s="198"/>
      <c r="R31" s="113"/>
      <c r="S31" s="114"/>
    </row>
    <row r="32" spans="1:19" s="6" customFormat="1" ht="18">
      <c r="A32" s="8"/>
      <c r="B32" s="49" t="s">
        <v>87</v>
      </c>
      <c r="C32" s="127">
        <v>18050000</v>
      </c>
      <c r="D32" s="202">
        <v>109463</v>
      </c>
      <c r="E32" s="202">
        <v>80142.04</v>
      </c>
      <c r="F32" s="203">
        <v>84574.04</v>
      </c>
      <c r="G32" s="202">
        <f t="shared" si="0"/>
        <v>4432</v>
      </c>
      <c r="H32" s="204">
        <f t="shared" si="3"/>
        <v>105.53018116334447</v>
      </c>
      <c r="I32" s="205">
        <f t="shared" si="4"/>
        <v>-24888.960000000006</v>
      </c>
      <c r="J32" s="205">
        <f t="shared" si="5"/>
        <v>77.262673232051</v>
      </c>
      <c r="K32" s="219">
        <v>55578.51</v>
      </c>
      <c r="L32" s="219">
        <f t="shared" si="11"/>
        <v>28995.52999999999</v>
      </c>
      <c r="M32" s="264">
        <f>F32/L32</f>
        <v>2.9167957957657618</v>
      </c>
      <c r="N32" s="197">
        <f>E32-червень!E31</f>
        <v>10100</v>
      </c>
      <c r="O32" s="200">
        <f>F32-червень!F31</f>
        <v>11357.349999999991</v>
      </c>
      <c r="P32" s="207">
        <f t="shared" si="6"/>
        <v>1257.3499999999913</v>
      </c>
      <c r="Q32" s="205">
        <f>O32/N32*100</f>
        <v>112.44900990099</v>
      </c>
      <c r="R32" s="113"/>
      <c r="S32" s="114"/>
    </row>
    <row r="33" spans="1:19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1"/>
        <v>1.42</v>
      </c>
      <c r="M33" s="270">
        <f aca="true" t="shared" si="13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</row>
    <row r="34" spans="1:19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20919.68</v>
      </c>
      <c r="G34" s="109">
        <f t="shared" si="0"/>
        <v>1223.7099999999991</v>
      </c>
      <c r="H34" s="111">
        <f t="shared" si="3"/>
        <v>106.21299687194892</v>
      </c>
      <c r="I34" s="110">
        <f t="shared" si="4"/>
        <v>-6680.32</v>
      </c>
      <c r="J34" s="110">
        <f t="shared" si="5"/>
        <v>75.79594202898551</v>
      </c>
      <c r="K34" s="142">
        <v>13078.86</v>
      </c>
      <c r="L34" s="142">
        <f t="shared" si="11"/>
        <v>7840.82</v>
      </c>
      <c r="M34" s="270">
        <f t="shared" si="13"/>
        <v>1.5995033206258038</v>
      </c>
      <c r="N34" s="111">
        <f>E34-червень!E33</f>
        <v>2000</v>
      </c>
      <c r="O34" s="179">
        <f>F34-червень!F33</f>
        <v>2606.619999999999</v>
      </c>
      <c r="P34" s="112">
        <f t="shared" si="6"/>
        <v>606.619999999999</v>
      </c>
      <c r="Q34" s="110">
        <f>O34/N34*100</f>
        <v>130.33099999999996</v>
      </c>
      <c r="R34" s="113"/>
      <c r="S34" s="114"/>
    </row>
    <row r="35" spans="1:19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63640.12</v>
      </c>
      <c r="G35" s="109">
        <f t="shared" si="0"/>
        <v>3204.040000000001</v>
      </c>
      <c r="H35" s="111">
        <f t="shared" si="3"/>
        <v>105.3015351094909</v>
      </c>
      <c r="I35" s="110">
        <f t="shared" si="4"/>
        <v>-18171.879999999997</v>
      </c>
      <c r="J35" s="110">
        <f t="shared" si="5"/>
        <v>77.78824622304796</v>
      </c>
      <c r="K35" s="142">
        <v>42491.04</v>
      </c>
      <c r="L35" s="142">
        <f t="shared" si="11"/>
        <v>21149.08</v>
      </c>
      <c r="M35" s="270">
        <f t="shared" si="13"/>
        <v>1.497730345032741</v>
      </c>
      <c r="N35" s="111">
        <f>E35-червень!E34</f>
        <v>8100</v>
      </c>
      <c r="O35" s="179">
        <f>F35-червень!F34</f>
        <v>8750.670000000006</v>
      </c>
      <c r="P35" s="112">
        <f t="shared" si="6"/>
        <v>650.6700000000055</v>
      </c>
      <c r="Q35" s="110">
        <f>O35/N35*100</f>
        <v>108.03296296296303</v>
      </c>
      <c r="R35" s="113"/>
      <c r="S35" s="114"/>
    </row>
    <row r="36" spans="1:19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14.01</v>
      </c>
      <c r="G36" s="109">
        <f t="shared" si="0"/>
        <v>4.02</v>
      </c>
      <c r="H36" s="111">
        <f t="shared" si="3"/>
        <v>140.24024024024024</v>
      </c>
      <c r="I36" s="110">
        <f t="shared" si="4"/>
        <v>-36.99</v>
      </c>
      <c r="J36" s="110">
        <f t="shared" si="5"/>
        <v>27.47058823529412</v>
      </c>
      <c r="K36" s="142">
        <v>9.8</v>
      </c>
      <c r="L36" s="142">
        <f t="shared" si="11"/>
        <v>4.209999999999999</v>
      </c>
      <c r="M36" s="270">
        <f t="shared" si="13"/>
        <v>1.4295918367346938</v>
      </c>
      <c r="N36" s="111">
        <f>E36-травень!E35</f>
        <v>0</v>
      </c>
      <c r="O36" s="179">
        <f>F36-червень!F35</f>
        <v>0</v>
      </c>
      <c r="P36" s="112">
        <f t="shared" si="6"/>
        <v>0</v>
      </c>
      <c r="Q36" s="110"/>
      <c r="R36" s="113"/>
      <c r="S36" s="114"/>
    </row>
    <row r="37" spans="1:19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1"/>
        <v>-4029.06</v>
      </c>
      <c r="M37" s="271">
        <f t="shared" si="13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</row>
    <row r="38" spans="1:19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25146.029999999995</v>
      </c>
      <c r="F38" s="191">
        <f>F39+F40+F41+F42+F43+F45+F47+F48+F49+F50+F51+F56+F57+F61+F44</f>
        <v>34873.16</v>
      </c>
      <c r="G38" s="191">
        <f>G39+G40+G41+G42+G43+G45+G47+G48+G49+G50+G51+G56+G57+G61</f>
        <v>9706.470000000001</v>
      </c>
      <c r="H38" s="192">
        <f>F38/E38*100</f>
        <v>138.6825673873769</v>
      </c>
      <c r="I38" s="193">
        <f>F38-D38</f>
        <v>-7946.8399999999965</v>
      </c>
      <c r="J38" s="193">
        <f>F38/D38*100</f>
        <v>81.44128911723494</v>
      </c>
      <c r="K38" s="191">
        <v>18825.24</v>
      </c>
      <c r="L38" s="191">
        <f t="shared" si="11"/>
        <v>16047.920000000002</v>
      </c>
      <c r="M38" s="256">
        <f t="shared" si="13"/>
        <v>1.8524682819448783</v>
      </c>
      <c r="N38" s="191">
        <f>N39+N40+N41+N42+N43+N45+N47+N48+N49+N50+N51+N56+N57+N61</f>
        <v>3647.9999999999995</v>
      </c>
      <c r="O38" s="191">
        <f>O39+O40+O41+O42+O43+O45+O47+O48+O49+O50+O51+O56+O57+O61+O44</f>
        <v>5612.510000000002</v>
      </c>
      <c r="P38" s="191">
        <f>P39+P40+P41+P42+P43+P45+P47+P48+P49+P50+P51+P56+P57+P61</f>
        <v>1957.4500000000012</v>
      </c>
      <c r="Q38" s="191">
        <f>O38/N38*100</f>
        <v>153.8516995614036</v>
      </c>
      <c r="R38" s="15" t="e">
        <f>#N/A</f>
        <v>#N/A</v>
      </c>
      <c r="S38" s="15" t="e">
        <f>#N/A</f>
        <v>#N/A</v>
      </c>
    </row>
    <row r="39" spans="1:19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241.19</v>
      </c>
      <c r="G39" s="202">
        <f>F39-E39</f>
        <v>171.19</v>
      </c>
      <c r="H39" s="204">
        <f aca="true" t="shared" si="14" ref="H39:H62">F39/E39*100</f>
        <v>344.5571428571429</v>
      </c>
      <c r="I39" s="205">
        <f>F39-D39</f>
        <v>141.19</v>
      </c>
      <c r="J39" s="205">
        <f>F39/D39*100</f>
        <v>241.19000000000003</v>
      </c>
      <c r="K39" s="205">
        <v>101.4</v>
      </c>
      <c r="L39" s="205">
        <f t="shared" si="11"/>
        <v>139.79</v>
      </c>
      <c r="M39" s="272">
        <f t="shared" si="13"/>
        <v>2.378599605522682</v>
      </c>
      <c r="N39" s="204">
        <f>E39-червень!E38</f>
        <v>3</v>
      </c>
      <c r="O39" s="208">
        <f>F39-червень!F38</f>
        <v>1.0200000000000102</v>
      </c>
      <c r="P39" s="207">
        <f>O39-N39</f>
        <v>-1.9799999999999898</v>
      </c>
      <c r="Q39" s="205">
        <f aca="true" t="shared" si="15" ref="Q39:Q62">O39/N39*100</f>
        <v>34.00000000000034</v>
      </c>
      <c r="R39" s="42"/>
      <c r="S39" s="100"/>
    </row>
    <row r="40" spans="1:19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6" ref="G40:G63">F40-E40</f>
        <v>9734.02</v>
      </c>
      <c r="H40" s="204">
        <f t="shared" si="14"/>
        <v>229.14979434788378</v>
      </c>
      <c r="I40" s="205">
        <f aca="true" t="shared" si="17" ref="I40:I63">F40-D40</f>
        <v>7271.02</v>
      </c>
      <c r="J40" s="205">
        <f>F40/D40*100</f>
        <v>172.71020000000001</v>
      </c>
      <c r="K40" s="205">
        <v>0</v>
      </c>
      <c r="L40" s="205">
        <f aca="true" t="shared" si="18" ref="L40:L51">F40-K40</f>
        <v>17271.02</v>
      </c>
      <c r="M40" s="272"/>
      <c r="N40" s="204">
        <f>E40-червень!E39</f>
        <v>1000</v>
      </c>
      <c r="O40" s="208">
        <f>F40-червень!F39</f>
        <v>3375.210000000001</v>
      </c>
      <c r="P40" s="207">
        <f aca="true" t="shared" si="19" ref="P40:P63">O40-N40</f>
        <v>2375.210000000001</v>
      </c>
      <c r="Q40" s="205">
        <f t="shared" si="15"/>
        <v>337.5210000000001</v>
      </c>
      <c r="R40" s="42"/>
      <c r="S40" s="100"/>
    </row>
    <row r="41" spans="1:19" s="6" customFormat="1" ht="18">
      <c r="A41" s="8"/>
      <c r="B41" s="144" t="s">
        <v>62</v>
      </c>
      <c r="C41" s="47">
        <v>21080500</v>
      </c>
      <c r="D41" s="190">
        <v>400</v>
      </c>
      <c r="E41" s="190">
        <v>131.44</v>
      </c>
      <c r="F41" s="196">
        <v>28.07</v>
      </c>
      <c r="G41" s="202">
        <f t="shared" si="16"/>
        <v>-103.37</v>
      </c>
      <c r="H41" s="204">
        <f t="shared" si="14"/>
        <v>21.355751673767497</v>
      </c>
      <c r="I41" s="205">
        <f t="shared" si="17"/>
        <v>-371.93</v>
      </c>
      <c r="J41" s="205">
        <f aca="true" t="shared" si="20" ref="J41:J62">F41/D41*100</f>
        <v>7.0175</v>
      </c>
      <c r="K41" s="205">
        <v>246.49</v>
      </c>
      <c r="L41" s="205">
        <f t="shared" si="18"/>
        <v>-218.42000000000002</v>
      </c>
      <c r="M41" s="272">
        <f aca="true" t="shared" si="21" ref="M41:M51">F41/K41</f>
        <v>0.11387885918292831</v>
      </c>
      <c r="N41" s="204">
        <f>E41-червень!E40</f>
        <v>20</v>
      </c>
      <c r="O41" s="208">
        <f>F41-червень!F40</f>
        <v>0</v>
      </c>
      <c r="P41" s="207">
        <f t="shared" si="19"/>
        <v>-20</v>
      </c>
      <c r="Q41" s="205">
        <f t="shared" si="15"/>
        <v>0</v>
      </c>
      <c r="R41" s="42"/>
      <c r="S41" s="100"/>
    </row>
    <row r="42" spans="1:19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0</v>
      </c>
      <c r="L42" s="205">
        <f t="shared" si="18"/>
        <v>0.1</v>
      </c>
      <c r="M42" s="272"/>
      <c r="N42" s="204">
        <f>E42-червень!E41</f>
        <v>0</v>
      </c>
      <c r="O42" s="208">
        <f>F42-червень!F41</f>
        <v>0</v>
      </c>
      <c r="P42" s="207">
        <f t="shared" si="19"/>
        <v>0</v>
      </c>
      <c r="Q42" s="205"/>
      <c r="R42" s="42"/>
      <c r="S42" s="100"/>
    </row>
    <row r="43" spans="1:19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69.91</v>
      </c>
      <c r="G43" s="202">
        <f t="shared" si="16"/>
        <v>-0.09000000000000341</v>
      </c>
      <c r="H43" s="204">
        <f t="shared" si="14"/>
        <v>99.87142857142857</v>
      </c>
      <c r="I43" s="205">
        <f t="shared" si="17"/>
        <v>-80.09</v>
      </c>
      <c r="J43" s="205">
        <f t="shared" si="20"/>
        <v>46.60666666666666</v>
      </c>
      <c r="K43" s="205">
        <v>90.24</v>
      </c>
      <c r="L43" s="205">
        <f t="shared" si="18"/>
        <v>-20.33</v>
      </c>
      <c r="M43" s="272">
        <f t="shared" si="21"/>
        <v>0.7747118794326241</v>
      </c>
      <c r="N43" s="204">
        <f>E43-червень!E42</f>
        <v>10</v>
      </c>
      <c r="O43" s="208">
        <f>F43-червень!F42</f>
        <v>8.939999999999998</v>
      </c>
      <c r="P43" s="207">
        <f t="shared" si="19"/>
        <v>-1.0600000000000023</v>
      </c>
      <c r="Q43" s="205">
        <f t="shared" si="15"/>
        <v>89.39999999999998</v>
      </c>
      <c r="R43" s="42"/>
      <c r="S43" s="100"/>
    </row>
    <row r="44" spans="1:19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20.66</v>
      </c>
      <c r="G44" s="202">
        <f t="shared" si="16"/>
        <v>20.66</v>
      </c>
      <c r="H44" s="204"/>
      <c r="I44" s="205">
        <f t="shared" si="17"/>
        <v>20.66</v>
      </c>
      <c r="J44" s="205"/>
      <c r="K44" s="205">
        <v>3</v>
      </c>
      <c r="L44" s="205">
        <f t="shared" si="18"/>
        <v>17.66</v>
      </c>
      <c r="M44" s="272">
        <f t="shared" si="21"/>
        <v>6.886666666666667</v>
      </c>
      <c r="N44" s="204">
        <f>E44-червень!E43</f>
        <v>0</v>
      </c>
      <c r="O44" s="208">
        <f>F44-червень!F43</f>
        <v>7.0600000000000005</v>
      </c>
      <c r="P44" s="207"/>
      <c r="Q44" s="205"/>
      <c r="R44" s="42"/>
      <c r="S44" s="100"/>
    </row>
    <row r="45" spans="1:19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228.57</v>
      </c>
      <c r="G45" s="202">
        <f t="shared" si="16"/>
        <v>180.57</v>
      </c>
      <c r="H45" s="204">
        <f t="shared" si="14"/>
        <v>476.1875</v>
      </c>
      <c r="I45" s="205">
        <f t="shared" si="17"/>
        <v>138.57</v>
      </c>
      <c r="J45" s="205">
        <f t="shared" si="20"/>
        <v>253.96666666666667</v>
      </c>
      <c r="K45" s="205">
        <v>0</v>
      </c>
      <c r="L45" s="205">
        <f t="shared" si="18"/>
        <v>228.57</v>
      </c>
      <c r="M45" s="272"/>
      <c r="N45" s="204">
        <f>E45-червень!E44</f>
        <v>8</v>
      </c>
      <c r="O45" s="208">
        <f>F45-червень!F44</f>
        <v>60.48999999999998</v>
      </c>
      <c r="P45" s="207">
        <f t="shared" si="19"/>
        <v>52.48999999999998</v>
      </c>
      <c r="Q45" s="205">
        <f t="shared" si="15"/>
        <v>756.1249999999998</v>
      </c>
      <c r="R45" s="42"/>
      <c r="S45" s="100"/>
    </row>
    <row r="46" spans="1:19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8"/>
        <v>0</v>
      </c>
      <c r="M46" s="272" t="e">
        <f t="shared" si="21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</row>
    <row r="47" spans="1:19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5768.56</v>
      </c>
      <c r="G47" s="202">
        <f t="shared" si="16"/>
        <v>429.53999999999996</v>
      </c>
      <c r="H47" s="204">
        <f t="shared" si="14"/>
        <v>108.04529670239107</v>
      </c>
      <c r="I47" s="205">
        <f t="shared" si="17"/>
        <v>-4131.44</v>
      </c>
      <c r="J47" s="205">
        <f t="shared" si="20"/>
        <v>58.268282828282835</v>
      </c>
      <c r="K47" s="205">
        <v>5937.66</v>
      </c>
      <c r="L47" s="205">
        <f t="shared" si="18"/>
        <v>-169.09999999999945</v>
      </c>
      <c r="M47" s="272">
        <f t="shared" si="21"/>
        <v>0.9715207674403722</v>
      </c>
      <c r="N47" s="204">
        <f>E47-червень!E46</f>
        <v>800</v>
      </c>
      <c r="O47" s="208">
        <f>F47-червень!F46</f>
        <v>767.5</v>
      </c>
      <c r="P47" s="207">
        <f t="shared" si="19"/>
        <v>-32.5</v>
      </c>
      <c r="Q47" s="205">
        <f t="shared" si="15"/>
        <v>95.9375</v>
      </c>
      <c r="R47" s="42"/>
      <c r="S47" s="100"/>
    </row>
    <row r="48" spans="1:19" s="6" customFormat="1" ht="31.5">
      <c r="A48" s="8"/>
      <c r="B48" s="188" t="s">
        <v>111</v>
      </c>
      <c r="C48" s="77">
        <v>22012600</v>
      </c>
      <c r="D48" s="190">
        <v>1500</v>
      </c>
      <c r="E48" s="190">
        <v>780</v>
      </c>
      <c r="F48" s="196">
        <v>104.14</v>
      </c>
      <c r="G48" s="202">
        <f t="shared" si="16"/>
        <v>-675.86</v>
      </c>
      <c r="H48" s="204">
        <f t="shared" si="14"/>
        <v>13.351282051282052</v>
      </c>
      <c r="I48" s="205">
        <f t="shared" si="17"/>
        <v>-1395.86</v>
      </c>
      <c r="J48" s="205">
        <f t="shared" si="20"/>
        <v>6.942666666666667</v>
      </c>
      <c r="K48" s="205">
        <v>0</v>
      </c>
      <c r="L48" s="205">
        <f t="shared" si="18"/>
        <v>104.14</v>
      </c>
      <c r="M48" s="272"/>
      <c r="N48" s="204">
        <f>E48-червень!E47</f>
        <v>130</v>
      </c>
      <c r="O48" s="208">
        <f>F48-червень!F47</f>
        <v>35.22</v>
      </c>
      <c r="P48" s="207">
        <f t="shared" si="19"/>
        <v>-94.78</v>
      </c>
      <c r="Q48" s="205">
        <f t="shared" si="15"/>
        <v>27.092307692307692</v>
      </c>
      <c r="R48" s="42"/>
      <c r="S48" s="100"/>
    </row>
    <row r="49" spans="1:19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6"/>
        <v>-15.46</v>
      </c>
      <c r="H49" s="204">
        <f t="shared" si="14"/>
        <v>35.58333333333333</v>
      </c>
      <c r="I49" s="205">
        <f t="shared" si="17"/>
        <v>-41.46</v>
      </c>
      <c r="J49" s="205">
        <f t="shared" si="20"/>
        <v>17.08</v>
      </c>
      <c r="K49" s="205">
        <v>0</v>
      </c>
      <c r="L49" s="205">
        <f t="shared" si="18"/>
        <v>8.54</v>
      </c>
      <c r="M49" s="272"/>
      <c r="N49" s="204">
        <f>E49-червень!E48</f>
        <v>4</v>
      </c>
      <c r="O49" s="208">
        <f>F49-червень!F48</f>
        <v>0</v>
      </c>
      <c r="P49" s="207">
        <f t="shared" si="19"/>
        <v>-4</v>
      </c>
      <c r="Q49" s="205">
        <f t="shared" si="15"/>
        <v>0</v>
      </c>
      <c r="R49" s="42"/>
      <c r="S49" s="100"/>
    </row>
    <row r="50" spans="1:19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6"/>
        <v>-118.22999999999956</v>
      </c>
      <c r="H50" s="204">
        <f t="shared" si="14"/>
        <v>97.43881912296398</v>
      </c>
      <c r="I50" s="205">
        <f t="shared" si="17"/>
        <v>-4002</v>
      </c>
      <c r="J50" s="205">
        <f t="shared" si="20"/>
        <v>52.917647058823526</v>
      </c>
      <c r="K50" s="205">
        <v>5141.74</v>
      </c>
      <c r="L50" s="205">
        <f t="shared" si="18"/>
        <v>-643.7399999999998</v>
      </c>
      <c r="M50" s="272">
        <f t="shared" si="21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19"/>
        <v>-80.04999999999973</v>
      </c>
      <c r="Q50" s="205">
        <f t="shared" si="15"/>
        <v>87.68461538461541</v>
      </c>
      <c r="R50" s="42"/>
      <c r="S50" s="100"/>
    </row>
    <row r="51" spans="1:19" s="6" customFormat="1" ht="18">
      <c r="A51" s="8"/>
      <c r="B51" s="145" t="s">
        <v>15</v>
      </c>
      <c r="C51" s="48">
        <v>22090000</v>
      </c>
      <c r="D51" s="190">
        <v>7300</v>
      </c>
      <c r="E51" s="190">
        <v>3872.19</v>
      </c>
      <c r="F51" s="196">
        <v>3535.71</v>
      </c>
      <c r="G51" s="202">
        <f t="shared" si="16"/>
        <v>-336.48</v>
      </c>
      <c r="H51" s="204">
        <f t="shared" si="14"/>
        <v>91.31034375895811</v>
      </c>
      <c r="I51" s="205">
        <f t="shared" si="17"/>
        <v>-3764.29</v>
      </c>
      <c r="J51" s="205">
        <f t="shared" si="20"/>
        <v>48.434383561643834</v>
      </c>
      <c r="K51" s="205">
        <v>4692.18</v>
      </c>
      <c r="L51" s="205">
        <f t="shared" si="18"/>
        <v>-1156.4700000000003</v>
      </c>
      <c r="M51" s="272">
        <f t="shared" si="21"/>
        <v>0.7535324731787783</v>
      </c>
      <c r="N51" s="204">
        <f>E51-червень!E50</f>
        <v>653</v>
      </c>
      <c r="O51" s="208">
        <f>F51-червень!F50</f>
        <v>441.0799999999999</v>
      </c>
      <c r="P51" s="207">
        <f t="shared" si="19"/>
        <v>-211.92000000000007</v>
      </c>
      <c r="Q51" s="205">
        <f t="shared" si="15"/>
        <v>67.54670750382847</v>
      </c>
      <c r="R51" s="42"/>
      <c r="S51" s="100"/>
    </row>
    <row r="52" spans="1:19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478.13</v>
      </c>
      <c r="G52" s="36">
        <f t="shared" si="16"/>
        <v>-165.86</v>
      </c>
      <c r="H52" s="32">
        <f t="shared" si="14"/>
        <v>74.24494169164117</v>
      </c>
      <c r="I52" s="110">
        <f t="shared" si="17"/>
        <v>-621.87</v>
      </c>
      <c r="J52" s="110">
        <f t="shared" si="20"/>
        <v>43.46636363636364</v>
      </c>
      <c r="K52" s="110">
        <v>675.25</v>
      </c>
      <c r="L52" s="110">
        <f>F52-K52</f>
        <v>-197.12</v>
      </c>
      <c r="M52" s="115">
        <f aca="true" t="shared" si="22" ref="M52:M57">F52/K52</f>
        <v>0.7080784894483525</v>
      </c>
      <c r="N52" s="111">
        <f>E52-червень!E51</f>
        <v>92</v>
      </c>
      <c r="O52" s="179">
        <f>F52-червень!F51</f>
        <v>57.45999999999998</v>
      </c>
      <c r="P52" s="112">
        <f t="shared" si="19"/>
        <v>-34.54000000000002</v>
      </c>
      <c r="Q52" s="132">
        <f t="shared" si="15"/>
        <v>62.45652173913041</v>
      </c>
      <c r="R52" s="42"/>
      <c r="S52" s="100"/>
    </row>
    <row r="53" spans="1:19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v>6.04</v>
      </c>
      <c r="F53" s="171">
        <v>0.25</v>
      </c>
      <c r="G53" s="36">
        <f t="shared" si="16"/>
        <v>-5.79</v>
      </c>
      <c r="H53" s="32">
        <f t="shared" si="14"/>
        <v>4.13907284768212</v>
      </c>
      <c r="I53" s="110">
        <f t="shared" si="17"/>
        <v>-44.75</v>
      </c>
      <c r="J53" s="110">
        <f t="shared" si="20"/>
        <v>0.5555555555555556</v>
      </c>
      <c r="K53" s="110">
        <v>45.43</v>
      </c>
      <c r="L53" s="110">
        <f>F53-K53</f>
        <v>-45.18</v>
      </c>
      <c r="M53" s="115">
        <f t="shared" si="22"/>
        <v>0.00550297160466652</v>
      </c>
      <c r="N53" s="111">
        <f>E53-червень!E52</f>
        <v>1</v>
      </c>
      <c r="O53" s="179">
        <f>F53-червень!F52</f>
        <v>0.010000000000000009</v>
      </c>
      <c r="P53" s="112">
        <f t="shared" si="19"/>
        <v>-0.99</v>
      </c>
      <c r="Q53" s="132">
        <f t="shared" si="15"/>
        <v>1.0000000000000009</v>
      </c>
      <c r="R53" s="42"/>
      <c r="S53" s="100"/>
    </row>
    <row r="54" spans="1:19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6"/>
        <v>0.02</v>
      </c>
      <c r="H54" s="32"/>
      <c r="I54" s="110">
        <f t="shared" si="17"/>
        <v>-0.98</v>
      </c>
      <c r="J54" s="110">
        <f t="shared" si="20"/>
        <v>2</v>
      </c>
      <c r="K54" s="110">
        <v>0.75</v>
      </c>
      <c r="L54" s="110">
        <f>F54-K54</f>
        <v>-0.73</v>
      </c>
      <c r="M54" s="115">
        <f t="shared" si="22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19"/>
        <v>0</v>
      </c>
      <c r="Q54" s="132"/>
      <c r="R54" s="42"/>
      <c r="S54" s="100"/>
    </row>
    <row r="55" spans="1:19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3057.3</v>
      </c>
      <c r="G55" s="36">
        <f t="shared" si="16"/>
        <v>-164.8699999999999</v>
      </c>
      <c r="H55" s="32">
        <f t="shared" si="14"/>
        <v>94.88326190114115</v>
      </c>
      <c r="I55" s="110">
        <f t="shared" si="17"/>
        <v>-3096.7</v>
      </c>
      <c r="J55" s="110">
        <f t="shared" si="20"/>
        <v>49.67988300292493</v>
      </c>
      <c r="K55" s="110">
        <v>3970.78</v>
      </c>
      <c r="L55" s="110">
        <f>F55-K55</f>
        <v>-913.48</v>
      </c>
      <c r="M55" s="115">
        <f t="shared" si="22"/>
        <v>0.7699494809584011</v>
      </c>
      <c r="N55" s="111">
        <f>E55-червень!E54</f>
        <v>560</v>
      </c>
      <c r="O55" s="179">
        <f>F55-червень!F54</f>
        <v>383.59000000000015</v>
      </c>
      <c r="P55" s="112">
        <f t="shared" si="19"/>
        <v>-176.40999999999985</v>
      </c>
      <c r="Q55" s="132">
        <f t="shared" si="15"/>
        <v>68.49821428571431</v>
      </c>
      <c r="R55" s="42"/>
      <c r="S55" s="100"/>
    </row>
    <row r="56" spans="1:19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6"/>
        <v>2.29</v>
      </c>
      <c r="H56" s="204">
        <f t="shared" si="14"/>
        <v>1447.0588235294117</v>
      </c>
      <c r="I56" s="205">
        <f t="shared" si="17"/>
        <v>-7.54</v>
      </c>
      <c r="J56" s="205">
        <f t="shared" si="20"/>
        <v>24.6</v>
      </c>
      <c r="K56" s="205">
        <v>0</v>
      </c>
      <c r="L56" s="205">
        <f>F56-K56</f>
        <v>2.46</v>
      </c>
      <c r="M56" s="272" t="e">
        <f t="shared" si="22"/>
        <v>#DIV/0!</v>
      </c>
      <c r="N56" s="204">
        <f>E56-червень!E55</f>
        <v>0</v>
      </c>
      <c r="O56" s="208">
        <f>F56-червень!F55</f>
        <v>0</v>
      </c>
      <c r="P56" s="207">
        <f t="shared" si="19"/>
        <v>0</v>
      </c>
      <c r="Q56" s="205"/>
      <c r="R56" s="42"/>
      <c r="S56" s="100"/>
    </row>
    <row r="57" spans="1:19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3018.05</v>
      </c>
      <c r="G57" s="202">
        <f t="shared" si="16"/>
        <v>380.07000000000016</v>
      </c>
      <c r="H57" s="204">
        <f t="shared" si="14"/>
        <v>114.40761491747473</v>
      </c>
      <c r="I57" s="205">
        <f t="shared" si="17"/>
        <v>-1781.9499999999998</v>
      </c>
      <c r="J57" s="205">
        <f t="shared" si="20"/>
        <v>62.87604166666667</v>
      </c>
      <c r="K57" s="205">
        <v>2611.92</v>
      </c>
      <c r="L57" s="205">
        <f aca="true" t="shared" si="23" ref="L57:L63">F57-K57</f>
        <v>406.1300000000001</v>
      </c>
      <c r="M57" s="272">
        <f t="shared" si="22"/>
        <v>1.1554909798156145</v>
      </c>
      <c r="N57" s="204">
        <f>E57-червень!E56</f>
        <v>370</v>
      </c>
      <c r="O57" s="208">
        <f>F57-червень!F56</f>
        <v>308.9100000000003</v>
      </c>
      <c r="P57" s="207">
        <f t="shared" si="19"/>
        <v>-61.08999999999969</v>
      </c>
      <c r="Q57" s="205">
        <f t="shared" si="15"/>
        <v>83.48918918918928</v>
      </c>
      <c r="R57" s="42"/>
      <c r="S57" s="100"/>
    </row>
    <row r="58" spans="1:19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20"/>
        <v>#DIV/0!</v>
      </c>
      <c r="K58" s="205"/>
      <c r="L58" s="205">
        <f t="shared" si="23"/>
        <v>0</v>
      </c>
      <c r="M58" s="272" t="e">
        <f aca="true" t="shared" si="24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19"/>
        <v>0</v>
      </c>
      <c r="Q58" s="205" t="e">
        <f t="shared" si="15"/>
        <v>#DIV/0!</v>
      </c>
      <c r="R58" s="42"/>
      <c r="S58" s="100"/>
    </row>
    <row r="59" spans="1:19" s="6" customFormat="1" ht="30.75">
      <c r="A59" s="8"/>
      <c r="B59" s="55" t="s">
        <v>43</v>
      </c>
      <c r="C59" s="66"/>
      <c r="D59" s="109"/>
      <c r="E59" s="109"/>
      <c r="F59" s="245">
        <v>687.1</v>
      </c>
      <c r="G59" s="202"/>
      <c r="H59" s="204"/>
      <c r="I59" s="205"/>
      <c r="J59" s="205"/>
      <c r="K59" s="206">
        <v>683.21</v>
      </c>
      <c r="L59" s="205">
        <f t="shared" si="23"/>
        <v>3.8899999999999864</v>
      </c>
      <c r="M59" s="272">
        <f t="shared" si="24"/>
        <v>1.005693710572152</v>
      </c>
      <c r="N59" s="236"/>
      <c r="O59" s="220">
        <f>F59-червень!F58</f>
        <v>94.84000000000003</v>
      </c>
      <c r="P59" s="206"/>
      <c r="Q59" s="205"/>
      <c r="R59" s="42"/>
      <c r="S59" s="100"/>
    </row>
    <row r="60" spans="1:19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3"/>
        <v>0</v>
      </c>
      <c r="M60" s="272" t="e">
        <f t="shared" si="24"/>
        <v>#DIV/0!</v>
      </c>
      <c r="N60" s="204">
        <f>E60-квітень!E55</f>
        <v>0</v>
      </c>
      <c r="O60" s="208">
        <f>F60-квітень!F55</f>
        <v>0</v>
      </c>
      <c r="P60" s="207">
        <f t="shared" si="19"/>
        <v>0</v>
      </c>
      <c r="Q60" s="205"/>
      <c r="R60" s="42"/>
      <c r="S60" s="100"/>
    </row>
    <row r="61" spans="1:19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6"/>
        <v>58.18000000000001</v>
      </c>
      <c r="H61" s="204">
        <f t="shared" si="14"/>
        <v>390.90000000000003</v>
      </c>
      <c r="I61" s="205">
        <f t="shared" si="17"/>
        <v>58.18000000000001</v>
      </c>
      <c r="J61" s="205">
        <f t="shared" si="20"/>
        <v>390.90000000000003</v>
      </c>
      <c r="K61" s="205">
        <v>0.6</v>
      </c>
      <c r="L61" s="205">
        <f t="shared" si="23"/>
        <v>77.58000000000001</v>
      </c>
      <c r="M61" s="272">
        <f t="shared" si="24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19"/>
        <v>37.13000000000001</v>
      </c>
      <c r="Q61" s="205"/>
      <c r="R61" s="42"/>
      <c r="S61" s="100"/>
    </row>
    <row r="62" spans="1:19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6"/>
        <v>-0.9800000000000004</v>
      </c>
      <c r="H62" s="204">
        <f t="shared" si="14"/>
        <v>93.24137931034483</v>
      </c>
      <c r="I62" s="205">
        <f t="shared" si="17"/>
        <v>-16.48</v>
      </c>
      <c r="J62" s="205">
        <f t="shared" si="20"/>
        <v>45.06666666666666</v>
      </c>
      <c r="K62" s="205">
        <v>14.42</v>
      </c>
      <c r="L62" s="205">
        <f t="shared" si="23"/>
        <v>-0.9000000000000004</v>
      </c>
      <c r="M62" s="272">
        <f t="shared" si="24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19"/>
        <v>-2.3000000000000007</v>
      </c>
      <c r="Q62" s="205">
        <f t="shared" si="15"/>
        <v>0</v>
      </c>
      <c r="R62" s="42"/>
      <c r="S62" s="100"/>
    </row>
    <row r="63" spans="1:19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6"/>
        <v>1.02</v>
      </c>
      <c r="H63" s="204"/>
      <c r="I63" s="205">
        <f t="shared" si="17"/>
        <v>0.42000000000000004</v>
      </c>
      <c r="J63" s="205"/>
      <c r="K63" s="205">
        <v>0.1</v>
      </c>
      <c r="L63" s="205">
        <f t="shared" si="23"/>
        <v>0.92</v>
      </c>
      <c r="M63" s="272">
        <f t="shared" si="24"/>
        <v>10.2</v>
      </c>
      <c r="N63" s="204">
        <f>E63-травень!E62</f>
        <v>0</v>
      </c>
      <c r="O63" s="208">
        <f>F63-червень!F62</f>
        <v>0.62</v>
      </c>
      <c r="P63" s="207">
        <f t="shared" si="19"/>
        <v>0.62</v>
      </c>
      <c r="Q63" s="205"/>
      <c r="R63" s="42"/>
      <c r="S63" s="100"/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524696.81</v>
      </c>
      <c r="F64" s="191">
        <f>F8+F38+F62+F63</f>
        <v>536635.07</v>
      </c>
      <c r="G64" s="191">
        <f>F64-E64</f>
        <v>11938.259999999893</v>
      </c>
      <c r="H64" s="192">
        <f>F64/E64*100</f>
        <v>102.27526826397131</v>
      </c>
      <c r="I64" s="193">
        <f>F64-D64</f>
        <v>-347265.53</v>
      </c>
      <c r="J64" s="193">
        <f>F64/D64*100</f>
        <v>60.71215134371444</v>
      </c>
      <c r="K64" s="193">
        <v>385611.99</v>
      </c>
      <c r="L64" s="193">
        <f>F64-K64</f>
        <v>151023.07999999996</v>
      </c>
      <c r="M64" s="273">
        <f>F64/K64</f>
        <v>1.39164518717377</v>
      </c>
      <c r="N64" s="191">
        <f>N8+N38+N62+N63</f>
        <v>82950.80000000003</v>
      </c>
      <c r="O64" s="191">
        <f>O8+O38+O62+O63</f>
        <v>41849.06999999999</v>
      </c>
      <c r="P64" s="195">
        <f>O64-N64</f>
        <v>-41101.73000000004</v>
      </c>
      <c r="Q64" s="193">
        <f>O64/N64*100</f>
        <v>50.45047184596167</v>
      </c>
      <c r="R64" s="28">
        <f>O64-34768</f>
        <v>7081.069999999992</v>
      </c>
      <c r="S64" s="128">
        <f>O64/34768</f>
        <v>1.2036663023469856</v>
      </c>
      <c r="U64" s="147"/>
    </row>
    <row r="65" spans="1:19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</row>
    <row r="66" spans="1:19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</row>
    <row r="67" spans="1:19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</row>
    <row r="68" spans="2:19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</row>
    <row r="69" spans="2:19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60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</row>
    <row r="70" spans="2:19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60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</row>
    <row r="71" spans="2:19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6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</row>
    <row r="72" spans="2:19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</row>
    <row r="73" spans="2:19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1042.09</v>
      </c>
      <c r="G73" s="202">
        <f aca="true" t="shared" si="25" ref="G73:G83">F73-E73</f>
        <v>-757.9100000000001</v>
      </c>
      <c r="H73" s="204"/>
      <c r="I73" s="207">
        <f aca="true" t="shared" si="26" ref="I73:I83">F73-D73</f>
        <v>-3157.91</v>
      </c>
      <c r="J73" s="207">
        <f>F73/D73*100</f>
        <v>24.811666666666664</v>
      </c>
      <c r="K73" s="207">
        <v>592.98</v>
      </c>
      <c r="L73" s="207">
        <f aca="true" t="shared" si="27" ref="L73:L83">F73-K73</f>
        <v>449.1099999999999</v>
      </c>
      <c r="M73" s="260">
        <f>F73/K73</f>
        <v>1.7573779891395997</v>
      </c>
      <c r="N73" s="204">
        <f>E73-червень!E72</f>
        <v>387</v>
      </c>
      <c r="O73" s="208">
        <f>F73-червень!F72</f>
        <v>0.06999999999993634</v>
      </c>
      <c r="P73" s="207">
        <f aca="true" t="shared" si="28" ref="P73:P86">O73-N73</f>
        <v>-386.93000000000006</v>
      </c>
      <c r="Q73" s="207">
        <f>O73/N73*100</f>
        <v>0.018087855297141173</v>
      </c>
      <c r="R73" s="43"/>
      <c r="S73" s="103"/>
    </row>
    <row r="74" spans="2:19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1380</v>
      </c>
      <c r="G74" s="202">
        <f t="shared" si="25"/>
        <v>-1947.31</v>
      </c>
      <c r="H74" s="204">
        <f>F74/E74*100</f>
        <v>41.47494522602342</v>
      </c>
      <c r="I74" s="207">
        <f t="shared" si="26"/>
        <v>-6079</v>
      </c>
      <c r="J74" s="207">
        <f>F74/D74*100</f>
        <v>18.501139562944093</v>
      </c>
      <c r="K74" s="207">
        <v>3579.75</v>
      </c>
      <c r="L74" s="207">
        <f t="shared" si="27"/>
        <v>-2199.75</v>
      </c>
      <c r="M74" s="260">
        <f>F74/K74</f>
        <v>0.38550178085061804</v>
      </c>
      <c r="N74" s="204">
        <f>E74-червень!E73</f>
        <v>1093.6</v>
      </c>
      <c r="O74" s="208">
        <f>F74-червень!F73</f>
        <v>443.96000000000004</v>
      </c>
      <c r="P74" s="207">
        <f t="shared" si="28"/>
        <v>-649.6399999999999</v>
      </c>
      <c r="Q74" s="207">
        <f>O74/N74*100</f>
        <v>40.59619604974397</v>
      </c>
      <c r="R74" s="43"/>
      <c r="S74" s="103"/>
    </row>
    <row r="75" spans="2:19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9389.14</v>
      </c>
      <c r="G75" s="202">
        <f t="shared" si="25"/>
        <v>7294.289999999999</v>
      </c>
      <c r="H75" s="204">
        <f>F75/E75*100</f>
        <v>448.20106451535906</v>
      </c>
      <c r="I75" s="207">
        <f t="shared" si="26"/>
        <v>3389.1399999999994</v>
      </c>
      <c r="J75" s="207">
        <f>F75/D75*100</f>
        <v>156.48566666666665</v>
      </c>
      <c r="K75" s="207">
        <v>1818.64</v>
      </c>
      <c r="L75" s="207">
        <f t="shared" si="27"/>
        <v>7570.499999999999</v>
      </c>
      <c r="M75" s="260">
        <f>F75/K75</f>
        <v>5.162725993049751</v>
      </c>
      <c r="N75" s="204">
        <f>E75-червень!E74</f>
        <v>302</v>
      </c>
      <c r="O75" s="208">
        <f>F75-червень!F74</f>
        <v>14.6299999999992</v>
      </c>
      <c r="P75" s="207">
        <f t="shared" si="28"/>
        <v>-287.3700000000008</v>
      </c>
      <c r="Q75" s="207">
        <f>O75/N75*100</f>
        <v>4.844370860926888</v>
      </c>
      <c r="R75" s="43"/>
      <c r="S75" s="103"/>
    </row>
    <row r="76" spans="2:19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5"/>
        <v>-1</v>
      </c>
      <c r="H76" s="204">
        <f>F76/E76*100</f>
        <v>85.71428571428571</v>
      </c>
      <c r="I76" s="207">
        <f t="shared" si="26"/>
        <v>-6</v>
      </c>
      <c r="J76" s="207">
        <f>F76/D76*100</f>
        <v>50</v>
      </c>
      <c r="K76" s="207">
        <v>0</v>
      </c>
      <c r="L76" s="207">
        <f t="shared" si="27"/>
        <v>6</v>
      </c>
      <c r="M76" s="260"/>
      <c r="N76" s="204">
        <f>E76-червень!E75</f>
        <v>1</v>
      </c>
      <c r="O76" s="208">
        <f>F76-червень!F75</f>
        <v>0</v>
      </c>
      <c r="P76" s="207">
        <f t="shared" si="28"/>
        <v>-1</v>
      </c>
      <c r="Q76" s="207">
        <f>O76/N76*100</f>
        <v>0</v>
      </c>
      <c r="R76" s="43"/>
      <c r="S76" s="151"/>
    </row>
    <row r="77" spans="2:19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11817.23</v>
      </c>
      <c r="G77" s="226">
        <f t="shared" si="25"/>
        <v>4588.07</v>
      </c>
      <c r="H77" s="227">
        <f>F77/E77*100</f>
        <v>163.4661565105766</v>
      </c>
      <c r="I77" s="228">
        <f t="shared" si="26"/>
        <v>-5853.77</v>
      </c>
      <c r="J77" s="228">
        <f>F77/D77*100</f>
        <v>66.87357817893724</v>
      </c>
      <c r="K77" s="228">
        <v>5991.37</v>
      </c>
      <c r="L77" s="228">
        <f t="shared" si="27"/>
        <v>5825.86</v>
      </c>
      <c r="M77" s="266">
        <f>F77/K77</f>
        <v>1.9723752664248744</v>
      </c>
      <c r="N77" s="226">
        <f>N73+N74+N75+N76</f>
        <v>1783.6</v>
      </c>
      <c r="O77" s="230">
        <f>O73+O74+O75+O76</f>
        <v>458.6599999999992</v>
      </c>
      <c r="P77" s="228">
        <f t="shared" si="28"/>
        <v>-1324.9400000000007</v>
      </c>
      <c r="Q77" s="228">
        <f>O77/N77*100</f>
        <v>25.71540704193761</v>
      </c>
      <c r="R77" s="44"/>
      <c r="S77" s="129"/>
    </row>
    <row r="78" spans="2:19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5"/>
        <v>5.21</v>
      </c>
      <c r="H78" s="204"/>
      <c r="I78" s="207">
        <f t="shared" si="26"/>
        <v>4.21</v>
      </c>
      <c r="J78" s="207"/>
      <c r="K78" s="207">
        <v>0.09</v>
      </c>
      <c r="L78" s="207">
        <f t="shared" si="27"/>
        <v>5.12</v>
      </c>
      <c r="M78" s="260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8"/>
        <v>0.019999999999999574</v>
      </c>
      <c r="Q78" s="207"/>
      <c r="R78" s="43"/>
      <c r="S78" s="103"/>
    </row>
    <row r="79" spans="2:19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5"/>
        <v>0</v>
      </c>
      <c r="H79" s="204"/>
      <c r="I79" s="207">
        <f t="shared" si="26"/>
        <v>0</v>
      </c>
      <c r="J79" s="231"/>
      <c r="K79" s="207">
        <f>F79-0</f>
        <v>0</v>
      </c>
      <c r="L79" s="207">
        <f t="shared" si="27"/>
        <v>0</v>
      </c>
      <c r="M79" s="260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8"/>
        <v>0</v>
      </c>
      <c r="Q79" s="231"/>
      <c r="R79" s="46"/>
      <c r="S79" s="105"/>
    </row>
    <row r="80" spans="2:19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4895.81</v>
      </c>
      <c r="G80" s="202">
        <f t="shared" si="25"/>
        <v>-231.48999999999978</v>
      </c>
      <c r="H80" s="204">
        <f>F80/E80*100</f>
        <v>95.48514812864471</v>
      </c>
      <c r="I80" s="207">
        <f t="shared" si="26"/>
        <v>-4604.19</v>
      </c>
      <c r="J80" s="207">
        <f>F80/D80*100</f>
        <v>51.53484210526316</v>
      </c>
      <c r="K80" s="207">
        <v>0</v>
      </c>
      <c r="L80" s="207">
        <f t="shared" si="27"/>
        <v>4895.81</v>
      </c>
      <c r="M80" s="260"/>
      <c r="N80" s="204">
        <f>E80-червень!E79</f>
        <v>10</v>
      </c>
      <c r="O80" s="208">
        <f>F80-червень!F79</f>
        <v>5.3700000000008</v>
      </c>
      <c r="P80" s="207">
        <f>O80-N80</f>
        <v>-4.6299999999992</v>
      </c>
      <c r="Q80" s="231">
        <f>O80/N80*100</f>
        <v>53.70000000000801</v>
      </c>
      <c r="R80" s="46"/>
      <c r="S80" s="105"/>
    </row>
    <row r="81" spans="2:19" ht="31.5">
      <c r="B81" s="23" t="s">
        <v>51</v>
      </c>
      <c r="C81" s="78">
        <v>19050000</v>
      </c>
      <c r="D81" s="221">
        <v>0</v>
      </c>
      <c r="E81" s="221"/>
      <c r="F81" s="222">
        <v>0.81</v>
      </c>
      <c r="G81" s="202">
        <f t="shared" si="25"/>
        <v>0.81</v>
      </c>
      <c r="H81" s="204"/>
      <c r="I81" s="207">
        <f t="shared" si="26"/>
        <v>0.81</v>
      </c>
      <c r="J81" s="207"/>
      <c r="K81" s="207">
        <v>0.72</v>
      </c>
      <c r="L81" s="207">
        <f t="shared" si="27"/>
        <v>0.09000000000000008</v>
      </c>
      <c r="M81" s="260">
        <f>F81/K81</f>
        <v>1.1250000000000002</v>
      </c>
      <c r="N81" s="204">
        <f>E81-червень!E80</f>
        <v>0</v>
      </c>
      <c r="O81" s="208">
        <f>F81-червень!F80</f>
        <v>0</v>
      </c>
      <c r="P81" s="207">
        <f t="shared" si="28"/>
        <v>0</v>
      </c>
      <c r="Q81" s="207"/>
      <c r="R81" s="43"/>
      <c r="S81" s="103"/>
    </row>
    <row r="82" spans="2:19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4901.830000000001</v>
      </c>
      <c r="G82" s="224">
        <f>G78+G81+G79+G80</f>
        <v>-225.46999999999977</v>
      </c>
      <c r="H82" s="227">
        <f>F82/E82*100</f>
        <v>95.60255885163733</v>
      </c>
      <c r="I82" s="228">
        <f t="shared" si="26"/>
        <v>-4599.169999999999</v>
      </c>
      <c r="J82" s="228">
        <f>F82/D82*100</f>
        <v>51.59277970739923</v>
      </c>
      <c r="K82" s="228">
        <v>0.83</v>
      </c>
      <c r="L82" s="228">
        <f t="shared" si="27"/>
        <v>4901.000000000001</v>
      </c>
      <c r="M82" s="274">
        <f>F82/K82</f>
        <v>5905.819277108435</v>
      </c>
      <c r="N82" s="226">
        <f>N78+N81+N79+N80</f>
        <v>10</v>
      </c>
      <c r="O82" s="230">
        <f>O78+O81+O79+O80</f>
        <v>5.3900000000008</v>
      </c>
      <c r="P82" s="226">
        <f>P78+P81+P79+P80</f>
        <v>-4.6099999999992</v>
      </c>
      <c r="Q82" s="228">
        <f>O82/N82*100</f>
        <v>53.900000000008</v>
      </c>
      <c r="R82" s="44"/>
      <c r="S82" s="102"/>
    </row>
    <row r="83" spans="2:19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18.45</v>
      </c>
      <c r="G83" s="202">
        <f t="shared" si="25"/>
        <v>-1.8500000000000014</v>
      </c>
      <c r="H83" s="204">
        <f>F83/E83*100</f>
        <v>90.88669950738915</v>
      </c>
      <c r="I83" s="207">
        <f t="shared" si="26"/>
        <v>-24.55</v>
      </c>
      <c r="J83" s="207">
        <f>F83/D83*100</f>
        <v>42.90697674418604</v>
      </c>
      <c r="K83" s="207">
        <v>20.55</v>
      </c>
      <c r="L83" s="207">
        <f t="shared" si="27"/>
        <v>-2.1000000000000014</v>
      </c>
      <c r="M83" s="260">
        <f>F83/K83</f>
        <v>0.8978102189781021</v>
      </c>
      <c r="N83" s="204">
        <f>E83-червень!E82</f>
        <v>0.6000000000000014</v>
      </c>
      <c r="O83" s="208">
        <f>F83-червень!F82</f>
        <v>0.1999999999999993</v>
      </c>
      <c r="P83" s="207">
        <f t="shared" si="28"/>
        <v>-0.40000000000000213</v>
      </c>
      <c r="Q83" s="207">
        <f>O83/N83</f>
        <v>0.33333333333333137</v>
      </c>
      <c r="R83" s="43"/>
      <c r="S83" s="103"/>
    </row>
    <row r="84" spans="2:19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8"/>
        <v>0</v>
      </c>
      <c r="Q84" s="207"/>
      <c r="R84" s="43"/>
      <c r="S84" s="103"/>
    </row>
    <row r="85" spans="2:19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16735.22</v>
      </c>
      <c r="G85" s="233">
        <f>F85-E85</f>
        <v>4358.460000000001</v>
      </c>
      <c r="H85" s="234">
        <f>F85/E85*100</f>
        <v>135.21487045074804</v>
      </c>
      <c r="I85" s="235">
        <f>F85-D85</f>
        <v>-10479.779999999999</v>
      </c>
      <c r="J85" s="235">
        <f>F85/D85*100</f>
        <v>61.49263273929818</v>
      </c>
      <c r="K85" s="235">
        <v>5963.75</v>
      </c>
      <c r="L85" s="235">
        <f>F85-K85</f>
        <v>10771.470000000001</v>
      </c>
      <c r="M85" s="275">
        <f>F85/K85</f>
        <v>2.8061571997484807</v>
      </c>
      <c r="N85" s="232">
        <f>N71+N83+N77+N82</f>
        <v>1794.1999999999998</v>
      </c>
      <c r="O85" s="232">
        <f>O71+O83+O77+O82+O84</f>
        <v>464.24999999999994</v>
      </c>
      <c r="P85" s="235">
        <f t="shared" si="28"/>
        <v>-1329.9499999999998</v>
      </c>
      <c r="Q85" s="235">
        <f>O85/N85*100</f>
        <v>25.875041801359938</v>
      </c>
      <c r="R85" s="28">
        <f>O85-8104.96</f>
        <v>-7640.71</v>
      </c>
      <c r="S85" s="101">
        <f>O85/8104.96</f>
        <v>0.057279739813644974</v>
      </c>
    </row>
    <row r="86" spans="2:19" ht="17.25">
      <c r="B86" s="21" t="s">
        <v>33</v>
      </c>
      <c r="C86" s="71"/>
      <c r="D86" s="232">
        <f>D64+D85</f>
        <v>911115.6</v>
      </c>
      <c r="E86" s="232">
        <f>E64+E85</f>
        <v>537073.5700000001</v>
      </c>
      <c r="F86" s="232">
        <f>F64+F85</f>
        <v>553370.2899999999</v>
      </c>
      <c r="G86" s="233">
        <f>F86-E86</f>
        <v>16296.719999999856</v>
      </c>
      <c r="H86" s="234">
        <f>F86/E86*100</f>
        <v>103.03435523740254</v>
      </c>
      <c r="I86" s="235">
        <f>F86-D86</f>
        <v>-357745.31000000006</v>
      </c>
      <c r="J86" s="235">
        <f>F86/D86*100</f>
        <v>60.7354643033222</v>
      </c>
      <c r="K86" s="235">
        <f>K64+K85</f>
        <v>391575.74</v>
      </c>
      <c r="L86" s="235">
        <f>F86-K86</f>
        <v>161794.54999999993</v>
      </c>
      <c r="M86" s="275">
        <f>F86/K86</f>
        <v>1.413188391088784</v>
      </c>
      <c r="N86" s="233">
        <f>N64+N85</f>
        <v>84745.00000000003</v>
      </c>
      <c r="O86" s="233">
        <f>O64+O85</f>
        <v>42313.31999999999</v>
      </c>
      <c r="P86" s="235">
        <f t="shared" si="28"/>
        <v>-42431.68000000004</v>
      </c>
      <c r="Q86" s="235">
        <f>O86/N86*100</f>
        <v>49.930166971502715</v>
      </c>
      <c r="R86" s="28">
        <f>O86-42872.96</f>
        <v>-559.6400000000067</v>
      </c>
      <c r="S86" s="101">
        <f>O86/42872.96</f>
        <v>0.9869465509262714</v>
      </c>
    </row>
    <row r="87" spans="2:15" ht="15">
      <c r="B87" s="20" t="s">
        <v>35</v>
      </c>
      <c r="O87" s="26"/>
    </row>
    <row r="88" spans="2:15" ht="15">
      <c r="B88" s="4" t="s">
        <v>37</v>
      </c>
      <c r="C88" s="81">
        <v>6</v>
      </c>
      <c r="D88" s="4" t="s">
        <v>36</v>
      </c>
      <c r="O88" s="83"/>
    </row>
    <row r="89" spans="2:18" ht="30.75">
      <c r="B89" s="57" t="s">
        <v>54</v>
      </c>
      <c r="C89" s="31">
        <f>IF(P64&lt;0,ABS(P64/C88),0)</f>
        <v>6850.28833333334</v>
      </c>
      <c r="D89" s="4" t="s">
        <v>24</v>
      </c>
      <c r="G89" s="294"/>
      <c r="H89" s="294"/>
      <c r="I89" s="294"/>
      <c r="J89" s="294"/>
      <c r="K89" s="90"/>
      <c r="L89" s="90"/>
      <c r="M89" s="90"/>
      <c r="Q89" s="26"/>
      <c r="R89" s="26"/>
    </row>
    <row r="90" spans="2:16" ht="34.5" customHeight="1">
      <c r="B90" s="58" t="s">
        <v>56</v>
      </c>
      <c r="C90" s="87">
        <v>42572</v>
      </c>
      <c r="D90" s="31">
        <v>4818.2</v>
      </c>
      <c r="G90" s="4" t="s">
        <v>59</v>
      </c>
      <c r="O90" s="286"/>
      <c r="P90" s="286"/>
    </row>
    <row r="91" spans="3:16" ht="15">
      <c r="C91" s="87">
        <v>42571</v>
      </c>
      <c r="D91" s="31">
        <v>3996.6</v>
      </c>
      <c r="F91" s="124" t="s">
        <v>59</v>
      </c>
      <c r="G91" s="280"/>
      <c r="H91" s="280"/>
      <c r="I91" s="131"/>
      <c r="J91" s="283"/>
      <c r="K91" s="283"/>
      <c r="L91" s="283"/>
      <c r="M91" s="283"/>
      <c r="N91" s="283"/>
      <c r="O91" s="286"/>
      <c r="P91" s="286"/>
    </row>
    <row r="92" spans="3:16" ht="15.75" customHeight="1">
      <c r="C92" s="87">
        <v>42570</v>
      </c>
      <c r="D92" s="31">
        <v>3834.1</v>
      </c>
      <c r="F92" s="73"/>
      <c r="G92" s="280"/>
      <c r="H92" s="280"/>
      <c r="I92" s="131"/>
      <c r="J92" s="287"/>
      <c r="K92" s="287"/>
      <c r="L92" s="287"/>
      <c r="M92" s="287"/>
      <c r="N92" s="287"/>
      <c r="O92" s="286"/>
      <c r="P92" s="286"/>
    </row>
    <row r="93" spans="3:14" ht="15.75" customHeight="1">
      <c r="C93" s="87"/>
      <c r="F93" s="73"/>
      <c r="G93" s="282"/>
      <c r="H93" s="282"/>
      <c r="I93" s="139"/>
      <c r="J93" s="283"/>
      <c r="K93" s="283"/>
      <c r="L93" s="283"/>
      <c r="M93" s="283"/>
      <c r="N93" s="283"/>
    </row>
    <row r="94" spans="2:14" ht="18.75" customHeight="1">
      <c r="B94" s="284" t="s">
        <v>57</v>
      </c>
      <c r="C94" s="285"/>
      <c r="D94" s="148">
        <v>2437.37713</v>
      </c>
      <c r="E94" s="74"/>
      <c r="F94" s="140" t="s">
        <v>137</v>
      </c>
      <c r="G94" s="280"/>
      <c r="H94" s="280"/>
      <c r="I94" s="141"/>
      <c r="J94" s="283"/>
      <c r="K94" s="283"/>
      <c r="L94" s="283"/>
      <c r="M94" s="283"/>
      <c r="N94" s="283"/>
    </row>
    <row r="95" spans="6:13" ht="9.75" customHeight="1">
      <c r="F95" s="73"/>
      <c r="G95" s="280"/>
      <c r="H95" s="280"/>
      <c r="I95" s="73"/>
      <c r="J95" s="74"/>
      <c r="K95" s="74"/>
      <c r="L95" s="74"/>
      <c r="M95" s="74"/>
    </row>
    <row r="96" spans="2:13" ht="22.5" customHeight="1" hidden="1">
      <c r="B96" s="278" t="s">
        <v>60</v>
      </c>
      <c r="C96" s="279"/>
      <c r="D96" s="86">
        <v>0</v>
      </c>
      <c r="E96" s="56" t="s">
        <v>24</v>
      </c>
      <c r="F96" s="73"/>
      <c r="G96" s="280"/>
      <c r="H96" s="28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852</v>
      </c>
      <c r="F97" s="247">
        <f>F45+F48+F49</f>
        <v>341.25</v>
      </c>
      <c r="G97" s="73">
        <f>G45+G48+G49</f>
        <v>-510.75</v>
      </c>
      <c r="H97" s="74"/>
      <c r="I97" s="74"/>
      <c r="N97" s="31">
        <f>N45+N48+N49</f>
        <v>142</v>
      </c>
      <c r="O97" s="246">
        <f>O45+O48+O49</f>
        <v>95.70999999999998</v>
      </c>
      <c r="P97" s="31">
        <f>P45+P48+P49</f>
        <v>-46.29000000000002</v>
      </c>
    </row>
    <row r="98" spans="4:16" ht="15">
      <c r="D98" s="83"/>
      <c r="I98" s="31"/>
      <c r="O98" s="281"/>
      <c r="P98" s="281"/>
    </row>
    <row r="99" spans="15:16" ht="15">
      <c r="O99" s="280"/>
      <c r="P99" s="28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2" sqref="B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177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172</v>
      </c>
      <c r="N3" s="312" t="s">
        <v>173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170</v>
      </c>
      <c r="F4" s="315" t="s">
        <v>34</v>
      </c>
      <c r="G4" s="288" t="s">
        <v>171</v>
      </c>
      <c r="H4" s="297" t="s">
        <v>175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178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67.5" customHeight="1">
      <c r="A5" s="304"/>
      <c r="B5" s="305"/>
      <c r="C5" s="306"/>
      <c r="D5" s="307"/>
      <c r="E5" s="314"/>
      <c r="F5" s="316"/>
      <c r="G5" s="289"/>
      <c r="H5" s="298"/>
      <c r="I5" s="289"/>
      <c r="J5" s="298"/>
      <c r="K5" s="291" t="s">
        <v>174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22.5" customHeight="1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-49454.11</v>
      </c>
      <c r="J28" s="243">
        <f t="shared" si="3"/>
        <v>51.53600932940034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94"/>
      <c r="H88" s="294"/>
      <c r="I88" s="294"/>
      <c r="J88" s="294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86"/>
      <c r="O89" s="286"/>
    </row>
    <row r="90" spans="3:15" ht="15">
      <c r="C90" s="87">
        <v>42550</v>
      </c>
      <c r="D90" s="31">
        <v>11029.3</v>
      </c>
      <c r="F90" s="124" t="s">
        <v>59</v>
      </c>
      <c r="G90" s="280"/>
      <c r="H90" s="280"/>
      <c r="I90" s="131"/>
      <c r="J90" s="283"/>
      <c r="K90" s="283"/>
      <c r="L90" s="283"/>
      <c r="M90" s="283"/>
      <c r="N90" s="286"/>
      <c r="O90" s="286"/>
    </row>
    <row r="91" spans="3:15" ht="15.75" customHeight="1">
      <c r="C91" s="87">
        <v>42545</v>
      </c>
      <c r="D91" s="31">
        <v>6499.7</v>
      </c>
      <c r="F91" s="73"/>
      <c r="G91" s="280"/>
      <c r="H91" s="280"/>
      <c r="I91" s="131"/>
      <c r="J91" s="287"/>
      <c r="K91" s="287"/>
      <c r="L91" s="287"/>
      <c r="M91" s="287"/>
      <c r="N91" s="286"/>
      <c r="O91" s="286"/>
    </row>
    <row r="92" spans="3:13" ht="15.75" customHeight="1">
      <c r="C92" s="87"/>
      <c r="F92" s="73"/>
      <c r="G92" s="282"/>
      <c r="H92" s="282"/>
      <c r="I92" s="139"/>
      <c r="J92" s="283"/>
      <c r="K92" s="283"/>
      <c r="L92" s="283"/>
      <c r="M92" s="283"/>
    </row>
    <row r="93" spans="2:13" ht="18.75" customHeight="1">
      <c r="B93" s="284" t="s">
        <v>57</v>
      </c>
      <c r="C93" s="285"/>
      <c r="D93" s="148">
        <v>9447.89588</v>
      </c>
      <c r="E93" s="74"/>
      <c r="F93" s="140" t="s">
        <v>137</v>
      </c>
      <c r="G93" s="280"/>
      <c r="H93" s="280"/>
      <c r="I93" s="141"/>
      <c r="J93" s="283"/>
      <c r="K93" s="283"/>
      <c r="L93" s="283"/>
      <c r="M93" s="283"/>
    </row>
    <row r="94" spans="6:12" ht="9.75" customHeight="1">
      <c r="F94" s="73"/>
      <c r="G94" s="280"/>
      <c r="H94" s="280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80"/>
      <c r="H95" s="28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81"/>
      <c r="O97" s="281"/>
    </row>
    <row r="98" spans="14:15" ht="15">
      <c r="N98" s="280"/>
      <c r="O98" s="280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7" sqref="A27:IV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162</v>
      </c>
      <c r="N3" s="312" t="s">
        <v>163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158</v>
      </c>
      <c r="F4" s="317" t="s">
        <v>34</v>
      </c>
      <c r="G4" s="288" t="s">
        <v>159</v>
      </c>
      <c r="H4" s="297" t="s">
        <v>160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169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161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94"/>
      <c r="H88" s="294"/>
      <c r="I88" s="294"/>
      <c r="J88" s="294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86"/>
      <c r="O89" s="286"/>
    </row>
    <row r="90" spans="3:15" ht="15">
      <c r="C90" s="87">
        <v>42520</v>
      </c>
      <c r="D90" s="31">
        <v>8891</v>
      </c>
      <c r="F90" s="124" t="s">
        <v>59</v>
      </c>
      <c r="G90" s="280"/>
      <c r="H90" s="280"/>
      <c r="I90" s="131"/>
      <c r="J90" s="283"/>
      <c r="K90" s="283"/>
      <c r="L90" s="283"/>
      <c r="M90" s="283"/>
      <c r="N90" s="286"/>
      <c r="O90" s="286"/>
    </row>
    <row r="91" spans="3:15" ht="15.75" customHeight="1">
      <c r="C91" s="87">
        <v>42517</v>
      </c>
      <c r="D91" s="31">
        <v>7356.3</v>
      </c>
      <c r="F91" s="73"/>
      <c r="G91" s="280"/>
      <c r="H91" s="280"/>
      <c r="I91" s="131"/>
      <c r="J91" s="287"/>
      <c r="K91" s="287"/>
      <c r="L91" s="287"/>
      <c r="M91" s="287"/>
      <c r="N91" s="286"/>
      <c r="O91" s="286"/>
    </row>
    <row r="92" spans="3:13" ht="15.75" customHeight="1">
      <c r="C92" s="87"/>
      <c r="F92" s="73"/>
      <c r="G92" s="282"/>
      <c r="H92" s="282"/>
      <c r="I92" s="139"/>
      <c r="J92" s="283"/>
      <c r="K92" s="283"/>
      <c r="L92" s="283"/>
      <c r="M92" s="283"/>
    </row>
    <row r="93" spans="2:13" ht="18.75" customHeight="1">
      <c r="B93" s="284" t="s">
        <v>57</v>
      </c>
      <c r="C93" s="285"/>
      <c r="D93" s="148">
        <v>2811.04042</v>
      </c>
      <c r="E93" s="74"/>
      <c r="F93" s="140" t="s">
        <v>137</v>
      </c>
      <c r="G93" s="280"/>
      <c r="H93" s="280"/>
      <c r="I93" s="141"/>
      <c r="J93" s="283"/>
      <c r="K93" s="283"/>
      <c r="L93" s="283"/>
      <c r="M93" s="283"/>
    </row>
    <row r="94" spans="6:12" ht="9.75" customHeight="1">
      <c r="F94" s="73"/>
      <c r="G94" s="280"/>
      <c r="H94" s="280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80"/>
      <c r="H95" s="28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1"/>
      <c r="O97" s="281"/>
    </row>
    <row r="98" spans="14:15" ht="15">
      <c r="N98" s="280"/>
      <c r="O98" s="28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153</v>
      </c>
      <c r="N3" s="312" t="s">
        <v>154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150</v>
      </c>
      <c r="F4" s="317" t="s">
        <v>34</v>
      </c>
      <c r="G4" s="288" t="s">
        <v>151</v>
      </c>
      <c r="H4" s="297" t="s">
        <v>152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157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155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94"/>
      <c r="H84" s="294"/>
      <c r="I84" s="294"/>
      <c r="J84" s="294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86"/>
      <c r="O85" s="286"/>
    </row>
    <row r="86" spans="3:15" ht="15">
      <c r="C86" s="87">
        <v>42488</v>
      </c>
      <c r="D86" s="31">
        <v>11419.7</v>
      </c>
      <c r="F86" s="124" t="s">
        <v>59</v>
      </c>
      <c r="G86" s="280"/>
      <c r="H86" s="280"/>
      <c r="I86" s="131"/>
      <c r="J86" s="283"/>
      <c r="K86" s="283"/>
      <c r="L86" s="283"/>
      <c r="M86" s="283"/>
      <c r="N86" s="286"/>
      <c r="O86" s="286"/>
    </row>
    <row r="87" spans="3:15" ht="15.75" customHeight="1">
      <c r="C87" s="87">
        <v>42487</v>
      </c>
      <c r="D87" s="31">
        <v>7800.7</v>
      </c>
      <c r="F87" s="73"/>
      <c r="G87" s="280"/>
      <c r="H87" s="280"/>
      <c r="I87" s="131"/>
      <c r="J87" s="287"/>
      <c r="K87" s="287"/>
      <c r="L87" s="287"/>
      <c r="M87" s="287"/>
      <c r="N87" s="286"/>
      <c r="O87" s="286"/>
    </row>
    <row r="88" spans="3:13" ht="15.75" customHeight="1">
      <c r="C88" s="87"/>
      <c r="F88" s="73"/>
      <c r="G88" s="282"/>
      <c r="H88" s="282"/>
      <c r="I88" s="139"/>
      <c r="J88" s="283"/>
      <c r="K88" s="283"/>
      <c r="L88" s="283"/>
      <c r="M88" s="283"/>
    </row>
    <row r="89" spans="2:13" ht="18.75" customHeight="1">
      <c r="B89" s="284" t="s">
        <v>57</v>
      </c>
      <c r="C89" s="285"/>
      <c r="D89" s="148">
        <v>9087.9705</v>
      </c>
      <c r="E89" s="74"/>
      <c r="F89" s="140" t="s">
        <v>137</v>
      </c>
      <c r="G89" s="280"/>
      <c r="H89" s="280"/>
      <c r="I89" s="141"/>
      <c r="J89" s="283"/>
      <c r="K89" s="283"/>
      <c r="L89" s="283"/>
      <c r="M89" s="283"/>
    </row>
    <row r="90" spans="6:12" ht="9.75" customHeight="1">
      <c r="F90" s="73"/>
      <c r="G90" s="280"/>
      <c r="H90" s="280"/>
      <c r="I90" s="73"/>
      <c r="J90" s="74"/>
      <c r="K90" s="74"/>
      <c r="L90" s="74"/>
    </row>
    <row r="91" spans="2:12" ht="22.5" customHeight="1" hidden="1">
      <c r="B91" s="278" t="s">
        <v>60</v>
      </c>
      <c r="C91" s="279"/>
      <c r="D91" s="86">
        <v>0</v>
      </c>
      <c r="E91" s="56" t="s">
        <v>24</v>
      </c>
      <c r="F91" s="73"/>
      <c r="G91" s="280"/>
      <c r="H91" s="28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80"/>
      <c r="O92" s="280"/>
    </row>
    <row r="93" spans="4:15" ht="15">
      <c r="D93" s="83"/>
      <c r="I93" s="31"/>
      <c r="N93" s="281"/>
      <c r="O93" s="281"/>
    </row>
    <row r="94" spans="14:15" ht="15">
      <c r="N94" s="280"/>
      <c r="O94" s="28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147</v>
      </c>
      <c r="N3" s="312" t="s">
        <v>143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146</v>
      </c>
      <c r="F4" s="317" t="s">
        <v>34</v>
      </c>
      <c r="G4" s="288" t="s">
        <v>141</v>
      </c>
      <c r="H4" s="297" t="s">
        <v>142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149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144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86"/>
      <c r="O84" s="286"/>
    </row>
    <row r="85" spans="3:15" ht="15">
      <c r="C85" s="87">
        <v>42459</v>
      </c>
      <c r="D85" s="31">
        <v>7576.3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42458</v>
      </c>
      <c r="D86" s="31">
        <v>9190.1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f>4343.7</f>
        <v>4343.7</v>
      </c>
      <c r="E88" s="74"/>
      <c r="F88" s="140" t="s">
        <v>137</v>
      </c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128</v>
      </c>
      <c r="N3" s="312" t="s">
        <v>119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127</v>
      </c>
      <c r="F4" s="317" t="s">
        <v>34</v>
      </c>
      <c r="G4" s="288" t="s">
        <v>116</v>
      </c>
      <c r="H4" s="297" t="s">
        <v>117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140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92.2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118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86"/>
      <c r="O84" s="286"/>
    </row>
    <row r="85" spans="3:15" ht="15">
      <c r="C85" s="87">
        <v>42426</v>
      </c>
      <c r="D85" s="31">
        <v>6256.2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42425</v>
      </c>
      <c r="D86" s="31">
        <v>3536.9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v>505.3</v>
      </c>
      <c r="E88" s="74"/>
      <c r="F88" s="140" t="s">
        <v>137</v>
      </c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 t="s">
        <v>135</v>
      </c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132</v>
      </c>
      <c r="N3" s="312" t="s">
        <v>66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129</v>
      </c>
      <c r="F4" s="317" t="s">
        <v>34</v>
      </c>
      <c r="G4" s="288" t="s">
        <v>130</v>
      </c>
      <c r="H4" s="297" t="s">
        <v>131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321" t="s">
        <v>133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92.2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134</v>
      </c>
      <c r="L5" s="293"/>
      <c r="M5" s="298"/>
      <c r="N5" s="322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86"/>
      <c r="O84" s="286"/>
    </row>
    <row r="85" spans="3:15" ht="15">
      <c r="C85" s="87">
        <v>42397</v>
      </c>
      <c r="D85" s="31">
        <v>8685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42396</v>
      </c>
      <c r="D86" s="31">
        <v>4820.3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v>300.92</v>
      </c>
      <c r="E88" s="74"/>
      <c r="F88" s="140"/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 t="s">
        <v>136</v>
      </c>
      <c r="C3" s="306" t="s">
        <v>0</v>
      </c>
      <c r="D3" s="307" t="s">
        <v>115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107</v>
      </c>
      <c r="N3" s="312" t="s">
        <v>66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104</v>
      </c>
      <c r="F4" s="323" t="s">
        <v>34</v>
      </c>
      <c r="G4" s="288" t="s">
        <v>109</v>
      </c>
      <c r="H4" s="297" t="s">
        <v>110</v>
      </c>
      <c r="I4" s="288" t="s">
        <v>105</v>
      </c>
      <c r="J4" s="297" t="s">
        <v>106</v>
      </c>
      <c r="K4" s="91" t="s">
        <v>65</v>
      </c>
      <c r="L4" s="96" t="s">
        <v>64</v>
      </c>
      <c r="M4" s="297"/>
      <c r="N4" s="321" t="s">
        <v>103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6.5" customHeight="1">
      <c r="A5" s="304"/>
      <c r="B5" s="305"/>
      <c r="C5" s="306"/>
      <c r="D5" s="307"/>
      <c r="E5" s="314"/>
      <c r="F5" s="324"/>
      <c r="G5" s="289"/>
      <c r="H5" s="298"/>
      <c r="I5" s="289"/>
      <c r="J5" s="298"/>
      <c r="K5" s="291" t="s">
        <v>108</v>
      </c>
      <c r="L5" s="293"/>
      <c r="M5" s="298"/>
      <c r="N5" s="322"/>
      <c r="O5" s="289"/>
      <c r="P5" s="290"/>
      <c r="Q5" s="291" t="s">
        <v>126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94"/>
      <c r="H82" s="294"/>
      <c r="I82" s="294"/>
      <c r="J82" s="29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86"/>
      <c r="O83" s="286"/>
    </row>
    <row r="84" spans="3:15" ht="15">
      <c r="C84" s="87">
        <v>42397</v>
      </c>
      <c r="D84" s="31">
        <v>8685</v>
      </c>
      <c r="F84" s="166" t="s">
        <v>59</v>
      </c>
      <c r="G84" s="280"/>
      <c r="H84" s="280"/>
      <c r="I84" s="131"/>
      <c r="J84" s="283"/>
      <c r="K84" s="283"/>
      <c r="L84" s="283"/>
      <c r="M84" s="283"/>
      <c r="N84" s="286"/>
      <c r="O84" s="286"/>
    </row>
    <row r="85" spans="3:15" ht="15.75" customHeight="1">
      <c r="C85" s="87">
        <v>42396</v>
      </c>
      <c r="D85" s="31">
        <v>4820.3</v>
      </c>
      <c r="F85" s="167"/>
      <c r="G85" s="280"/>
      <c r="H85" s="280"/>
      <c r="I85" s="131"/>
      <c r="J85" s="287"/>
      <c r="K85" s="287"/>
      <c r="L85" s="287"/>
      <c r="M85" s="287"/>
      <c r="N85" s="286"/>
      <c r="O85" s="286"/>
    </row>
    <row r="86" spans="3:13" ht="15.75" customHeight="1">
      <c r="C86" s="87"/>
      <c r="F86" s="167"/>
      <c r="G86" s="282"/>
      <c r="H86" s="282"/>
      <c r="I86" s="139"/>
      <c r="J86" s="283"/>
      <c r="K86" s="283"/>
      <c r="L86" s="283"/>
      <c r="M86" s="283"/>
    </row>
    <row r="87" spans="2:13" ht="18.75" customHeight="1">
      <c r="B87" s="284" t="s">
        <v>57</v>
      </c>
      <c r="C87" s="285"/>
      <c r="D87" s="148">
        <v>300.92</v>
      </c>
      <c r="E87" s="74"/>
      <c r="F87" s="168"/>
      <c r="G87" s="280"/>
      <c r="H87" s="280"/>
      <c r="I87" s="141"/>
      <c r="J87" s="283"/>
      <c r="K87" s="283"/>
      <c r="L87" s="283"/>
      <c r="M87" s="283"/>
    </row>
    <row r="88" spans="6:12" ht="9.75" customHeight="1">
      <c r="F88" s="167"/>
      <c r="G88" s="280"/>
      <c r="H88" s="280"/>
      <c r="I88" s="73"/>
      <c r="J88" s="74"/>
      <c r="K88" s="74"/>
      <c r="L88" s="74"/>
    </row>
    <row r="89" spans="2:12" ht="22.5" customHeight="1" hidden="1">
      <c r="B89" s="278" t="s">
        <v>60</v>
      </c>
      <c r="C89" s="279"/>
      <c r="D89" s="86">
        <v>0</v>
      </c>
      <c r="E89" s="56" t="s">
        <v>24</v>
      </c>
      <c r="F89" s="167"/>
      <c r="G89" s="280"/>
      <c r="H89" s="28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80"/>
      <c r="O90" s="280"/>
    </row>
    <row r="91" spans="4:15" ht="15">
      <c r="D91" s="83"/>
      <c r="I91" s="31"/>
      <c r="N91" s="281"/>
      <c r="O91" s="281"/>
    </row>
    <row r="92" spans="14:15" ht="15">
      <c r="N92" s="280"/>
      <c r="O92" s="28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2016-07-22T09:44:25Z</cp:lastPrinted>
  <dcterms:created xsi:type="dcterms:W3CDTF">2003-07-28T11:27:56Z</dcterms:created>
  <dcterms:modified xsi:type="dcterms:W3CDTF">2016-07-22T11:06:13Z</dcterms:modified>
  <cp:category/>
  <cp:version/>
  <cp:contentType/>
  <cp:contentStatus/>
</cp:coreProperties>
</file>